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ha2\Documents\My Documents\ZeroWaste2019\ZWS2019 Pilot\Zero Waste 18.02.2020\Carmunock\"/>
    </mc:Choice>
  </mc:AlternateContent>
  <bookViews>
    <workbookView xWindow="0" yWindow="60" windowWidth="15360" windowHeight="7290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TYW">Sheet2!$A$2:$B$40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8" i="4" l="1"/>
  <c r="N6" i="4"/>
  <c r="N5" i="4"/>
  <c r="N4" i="4"/>
  <c r="N3" i="4"/>
  <c r="G5" i="4"/>
  <c r="M65" i="3"/>
  <c r="L8" i="4"/>
  <c r="L6" i="4"/>
  <c r="L3" i="4"/>
  <c r="I8" i="4"/>
  <c r="M66" i="3"/>
  <c r="G4" i="4"/>
  <c r="K66" i="3"/>
  <c r="G8" i="4"/>
  <c r="G3" i="4"/>
  <c r="E33" i="4"/>
  <c r="O50" i="3" l="1"/>
  <c r="O51" i="3"/>
  <c r="O52" i="3"/>
  <c r="O53" i="3"/>
  <c r="O54" i="3"/>
  <c r="O55" i="3"/>
  <c r="O56" i="3"/>
  <c r="O57" i="3"/>
  <c r="O58" i="3"/>
  <c r="O59" i="3"/>
  <c r="O61" i="3"/>
  <c r="N50" i="3"/>
  <c r="N51" i="3"/>
  <c r="N52" i="3"/>
  <c r="N53" i="3"/>
  <c r="N54" i="3"/>
  <c r="N55" i="3"/>
  <c r="N56" i="3"/>
  <c r="N57" i="3"/>
  <c r="N58" i="3"/>
  <c r="N59" i="3"/>
  <c r="N61" i="3"/>
  <c r="M64" i="3"/>
  <c r="K65" i="3"/>
  <c r="K64" i="3"/>
  <c r="M62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8" i="3"/>
  <c r="K62" i="3"/>
  <c r="K24" i="3" l="1"/>
  <c r="E39" i="4" l="1"/>
  <c r="O9" i="3"/>
  <c r="O11" i="3"/>
  <c r="O12" i="3"/>
  <c r="O13" i="3"/>
  <c r="O14" i="3"/>
  <c r="O15" i="3"/>
  <c r="O16" i="3"/>
  <c r="O17" i="3"/>
  <c r="O18" i="3"/>
  <c r="O19" i="3"/>
  <c r="O21" i="3"/>
  <c r="O24" i="3"/>
  <c r="O25" i="3"/>
  <c r="O26" i="3"/>
  <c r="O27" i="3"/>
  <c r="O28" i="3"/>
  <c r="O29" i="3"/>
  <c r="O30" i="3"/>
  <c r="O32" i="3"/>
  <c r="O33" i="3"/>
  <c r="O34" i="3"/>
  <c r="O35" i="3"/>
  <c r="O36" i="3"/>
  <c r="O37" i="3"/>
  <c r="O38" i="3"/>
  <c r="O40" i="3"/>
  <c r="O41" i="3"/>
  <c r="O42" i="3"/>
  <c r="O43" i="3"/>
  <c r="O44" i="3"/>
  <c r="O45" i="3"/>
  <c r="O46" i="3"/>
  <c r="O47" i="3"/>
  <c r="O48" i="3"/>
  <c r="O49" i="3"/>
  <c r="O8" i="3"/>
  <c r="N49" i="3"/>
  <c r="N33" i="3"/>
  <c r="N34" i="3"/>
  <c r="N35" i="3"/>
  <c r="N36" i="3"/>
  <c r="N37" i="3"/>
  <c r="N38" i="3"/>
  <c r="N40" i="3"/>
  <c r="N41" i="3"/>
  <c r="N42" i="3"/>
  <c r="N43" i="3"/>
  <c r="N44" i="3"/>
  <c r="N45" i="3"/>
  <c r="N46" i="3"/>
  <c r="N47" i="3"/>
  <c r="N48" i="3"/>
  <c r="N19" i="3"/>
  <c r="N21" i="3"/>
  <c r="N22" i="3"/>
  <c r="N24" i="3"/>
  <c r="N25" i="3"/>
  <c r="N26" i="3"/>
  <c r="N27" i="3"/>
  <c r="N28" i="3"/>
  <c r="N29" i="3"/>
  <c r="N30" i="3"/>
  <c r="N32" i="3"/>
  <c r="N9" i="3"/>
  <c r="N11" i="3"/>
  <c r="N12" i="3"/>
  <c r="N13" i="3"/>
  <c r="N14" i="3"/>
  <c r="N15" i="3"/>
  <c r="N16" i="3"/>
  <c r="N17" i="3"/>
  <c r="N18" i="3"/>
  <c r="N8" i="3"/>
  <c r="K61" i="3" l="1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N7" i="4" l="1"/>
  <c r="L5" i="4"/>
  <c r="L7" i="4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G6" i="4" l="1"/>
  <c r="I6" i="4" s="1"/>
  <c r="G9" i="4"/>
  <c r="L4" i="4" s="1"/>
  <c r="I9" i="4"/>
  <c r="G7" i="4"/>
  <c r="I7" i="4" s="1"/>
  <c r="I3" i="4"/>
  <c r="I4" i="4"/>
  <c r="I5" i="4"/>
  <c r="G10" i="4"/>
  <c r="I10" i="4" s="1"/>
  <c r="G11" i="4"/>
  <c r="I11" i="4" s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N11" i="4" l="1"/>
  <c r="L11" i="4"/>
  <c r="G12" i="4"/>
</calcChain>
</file>

<file path=xl/sharedStrings.xml><?xml version="1.0" encoding="utf-8"?>
<sst xmlns="http://schemas.openxmlformats.org/spreadsheetml/2006/main" count="796" uniqueCount="247">
  <si>
    <t>Location:</t>
  </si>
  <si>
    <t xml:space="preserve">Stewart Milne: SM Homes Project.  Coulter's Brae, Carmunnock </t>
  </si>
  <si>
    <t>Date:</t>
  </si>
  <si>
    <t>Name:</t>
  </si>
  <si>
    <t xml:space="preserve">Naser, Mohamed </t>
  </si>
  <si>
    <t>List</t>
  </si>
  <si>
    <t>Ref. No.</t>
  </si>
  <si>
    <t>Time of day (hh:mm)</t>
  </si>
  <si>
    <t>Type of Waste</t>
  </si>
  <si>
    <t>Waste Code</t>
  </si>
  <si>
    <t xml:space="preserve">Description/ Comment </t>
  </si>
  <si>
    <t>Source of Waste</t>
  </si>
  <si>
    <t>Distance travelled</t>
  </si>
  <si>
    <t>Number</t>
  </si>
  <si>
    <t>Dimensions (mm)</t>
  </si>
  <si>
    <r>
      <t>Total Volume (m</t>
    </r>
    <r>
      <rPr>
        <b/>
        <vertAlign val="superscript"/>
        <sz val="11"/>
        <color theme="1"/>
        <rFont val="Calibri"/>
        <family val="2"/>
        <scheme val="minor"/>
      </rPr>
      <t>3</t>
    </r>
    <r>
      <rPr>
        <b/>
        <sz val="11"/>
        <color theme="1"/>
        <rFont val="Calibri"/>
        <family val="2"/>
        <scheme val="minor"/>
      </rPr>
      <t>)</t>
    </r>
  </si>
  <si>
    <t>Condition</t>
  </si>
  <si>
    <t>Insulation</t>
  </si>
  <si>
    <t>insulation board king span</t>
  </si>
  <si>
    <t>Cutting waste</t>
  </si>
  <si>
    <t>600x1000</t>
  </si>
  <si>
    <t>Landfill</t>
  </si>
  <si>
    <t>Plastic - excludes packaging waste</t>
  </si>
  <si>
    <t xml:space="preserve">empty plastic buckets , 17 litre </t>
  </si>
  <si>
    <t>Not recovered by supplier (packaging)</t>
  </si>
  <si>
    <t xml:space="preserve">17 litre </t>
  </si>
  <si>
    <t>Suitable for recycling</t>
  </si>
  <si>
    <t>Other</t>
  </si>
  <si>
    <t>mixed waste ( welfare)</t>
  </si>
  <si>
    <t>95% of 20L bag</t>
  </si>
  <si>
    <t xml:space="preserve">Mostly recyclable </t>
  </si>
  <si>
    <t>Wood - untreated</t>
  </si>
  <si>
    <t xml:space="preserve">pieces of timber </t>
  </si>
  <si>
    <t>25×25×300-400</t>
  </si>
  <si>
    <t>Packaging: Plastic</t>
  </si>
  <si>
    <t>band wraps</t>
  </si>
  <si>
    <t xml:space="preserve">various lengths </t>
  </si>
  <si>
    <t xml:space="preserve">polyethylene wrapping </t>
  </si>
  <si>
    <t>900x 1500</t>
  </si>
  <si>
    <t xml:space="preserve">empty fillers bags </t>
  </si>
  <si>
    <t xml:space="preserve">10 L bags </t>
  </si>
  <si>
    <t xml:space="preserve">1/2" plastic pipe </t>
  </si>
  <si>
    <t xml:space="preserve">3 meters long </t>
  </si>
  <si>
    <t>Packaging: Paper/Card</t>
  </si>
  <si>
    <t xml:space="preserve">empty boxes </t>
  </si>
  <si>
    <t>1000x1000</t>
  </si>
  <si>
    <t>Treated wood/glass/plastic (including wood/plastic window frames)</t>
  </si>
  <si>
    <t>shelving board</t>
  </si>
  <si>
    <t>600x900</t>
  </si>
  <si>
    <t>Reusable</t>
  </si>
  <si>
    <t>25×25×300-500</t>
  </si>
  <si>
    <t xml:space="preserve">electric shower </t>
  </si>
  <si>
    <t>stripping off previous work</t>
  </si>
  <si>
    <t xml:space="preserve">plastic down pip </t>
  </si>
  <si>
    <t>80x80x30000</t>
  </si>
  <si>
    <t xml:space="preserve">side panel of a bath </t>
  </si>
  <si>
    <t>800x1400</t>
  </si>
  <si>
    <t xml:space="preserve">netting </t>
  </si>
  <si>
    <t>1000x 10000</t>
  </si>
  <si>
    <t>Waste caused by other trades (if unprotected)</t>
  </si>
  <si>
    <t>80x80x1200</t>
  </si>
  <si>
    <t>900x900</t>
  </si>
  <si>
    <t>plastic door packers box of 250 pieces</t>
  </si>
  <si>
    <t>Wrongly specified</t>
  </si>
  <si>
    <t>As good as new</t>
  </si>
  <si>
    <t>50x600</t>
  </si>
  <si>
    <t>Mixed metals</t>
  </si>
  <si>
    <t xml:space="preserve">door stopper </t>
  </si>
  <si>
    <t>Bricks</t>
  </si>
  <si>
    <t xml:space="preserve">damaged bricks </t>
  </si>
  <si>
    <t xml:space="preserve">fencing post </t>
  </si>
  <si>
    <t>Slight damage/Reparable</t>
  </si>
  <si>
    <t xml:space="preserve">fencing  wood slates </t>
  </si>
  <si>
    <t>30x100x1800</t>
  </si>
  <si>
    <t xml:space="preserve">debris netting </t>
  </si>
  <si>
    <t xml:space="preserve">1300x 15000 long </t>
  </si>
  <si>
    <t>Concrete</t>
  </si>
  <si>
    <t xml:space="preserve">post crate </t>
  </si>
  <si>
    <t xml:space="preserve">15 Liter </t>
  </si>
  <si>
    <t>Iron and steel</t>
  </si>
  <si>
    <t xml:space="preserve">broken pedestrian fencing </t>
  </si>
  <si>
    <t>Damaged: Site storage and internal site transit waste</t>
  </si>
  <si>
    <t xml:space="preserve">damaged plastic pedestrian fencing </t>
  </si>
  <si>
    <t>Visqueen Black Polythene Plastic Sheeting</t>
  </si>
  <si>
    <t xml:space="preserve">1200x 3000 long </t>
  </si>
  <si>
    <t>600x2500</t>
  </si>
  <si>
    <t xml:space="preserve">bricks ballet polyethylene wrapping </t>
  </si>
  <si>
    <t>600x 2100</t>
  </si>
  <si>
    <t>40x100x600</t>
  </si>
  <si>
    <t xml:space="preserve">single use sling </t>
  </si>
  <si>
    <t>band wraps ( bricks ballet)</t>
  </si>
  <si>
    <t>upvc soffit board ( broken)</t>
  </si>
  <si>
    <t>200x1800</t>
  </si>
  <si>
    <t xml:space="preserve">glass wool </t>
  </si>
  <si>
    <t xml:space="preserve">25 litre </t>
  </si>
  <si>
    <t>breese blocks</t>
  </si>
  <si>
    <t>200x270x400</t>
  </si>
  <si>
    <t>small pieces of mixed wood (skirting boards, flatbead, spindle)</t>
  </si>
  <si>
    <t>400L</t>
  </si>
  <si>
    <t xml:space="preserve">bubble warping </t>
  </si>
  <si>
    <t>2272×966</t>
  </si>
  <si>
    <t xml:space="preserve">packaging for handrails </t>
  </si>
  <si>
    <t>2400×150</t>
  </si>
  <si>
    <t>Cables</t>
  </si>
  <si>
    <t xml:space="preserve">cable </t>
  </si>
  <si>
    <t>1000-1200</t>
  </si>
  <si>
    <t xml:space="preserve">50 Liter </t>
  </si>
  <si>
    <t>40x80x1400</t>
  </si>
  <si>
    <t xml:space="preserve">200x1200 </t>
  </si>
  <si>
    <t>Breathable Roofing Underlay (Breather Felt Membrane)</t>
  </si>
  <si>
    <t xml:space="preserve">1200x 10000 long role </t>
  </si>
  <si>
    <t>400x400x550</t>
  </si>
  <si>
    <t xml:space="preserve">latex gloves </t>
  </si>
  <si>
    <t xml:space="preserve">100 pieces </t>
  </si>
  <si>
    <t>Code</t>
  </si>
  <si>
    <t>17-06-04</t>
  </si>
  <si>
    <t>Application and residue waste (spillage)</t>
  </si>
  <si>
    <t>17-01-01</t>
  </si>
  <si>
    <t>Client/designer change of mind</t>
  </si>
  <si>
    <t>17-01-02</t>
  </si>
  <si>
    <t>Conversion waste (dimensions)</t>
  </si>
  <si>
    <t>Tiles and ceramics</t>
  </si>
  <si>
    <t>17-01-03</t>
  </si>
  <si>
    <t>Criminal waste (vandalism)</t>
  </si>
  <si>
    <t>Concrete, bricks, tiles and ceramics in mixtures</t>
  </si>
  <si>
    <t>17-01-07</t>
  </si>
  <si>
    <t>17-02-01</t>
  </si>
  <si>
    <t>17-02-04</t>
  </si>
  <si>
    <t>Damaged: Transport and delivery</t>
  </si>
  <si>
    <t>Glass - uncontaminated</t>
  </si>
  <si>
    <t>17-02-02</t>
  </si>
  <si>
    <t>Excess materials (too much in a batch)</t>
  </si>
  <si>
    <t>17-02-03</t>
  </si>
  <si>
    <t>Fixing waste: built in wrong place</t>
  </si>
  <si>
    <t>Bituminous mixtures containing coal tar</t>
  </si>
  <si>
    <t>17-03-01</t>
  </si>
  <si>
    <t>Fixing waste: poor workmanship/quality</t>
  </si>
  <si>
    <t>Other bituminous mixtures</t>
  </si>
  <si>
    <t>17-03-02</t>
  </si>
  <si>
    <t>Learning waste</t>
  </si>
  <si>
    <t>Coal tar and tarred products</t>
  </si>
  <si>
    <t>17-03-03</t>
  </si>
  <si>
    <t>Manufacturing defect</t>
  </si>
  <si>
    <t>Copper, bronze and brass</t>
  </si>
  <si>
    <t>17-04-01</t>
  </si>
  <si>
    <t>Over ordering</t>
  </si>
  <si>
    <t>Aluminium</t>
  </si>
  <si>
    <t>17-04-02</t>
  </si>
  <si>
    <t>Lead</t>
  </si>
  <si>
    <t>17-04-03</t>
  </si>
  <si>
    <t>17-04-05</t>
  </si>
  <si>
    <t>Tin</t>
  </si>
  <si>
    <t>17-04-06</t>
  </si>
  <si>
    <t>17-04-07</t>
  </si>
  <si>
    <t>17-04-10</t>
  </si>
  <si>
    <t>Inert soil and stones</t>
  </si>
  <si>
    <t>17-05-03</t>
  </si>
  <si>
    <t>Dredging spoil</t>
  </si>
  <si>
    <t>17-05-05</t>
  </si>
  <si>
    <t>Gypsum materials</t>
  </si>
  <si>
    <t>17-08-01</t>
  </si>
  <si>
    <t>Un-used or un-set cement</t>
  </si>
  <si>
    <t>17-09-03</t>
  </si>
  <si>
    <t>Mixed construction and demolition wastes</t>
  </si>
  <si>
    <t>17-09-04</t>
  </si>
  <si>
    <t>Paints and varnishes: Containing organic solvents or other hazardous substances</t>
  </si>
  <si>
    <t>08-01-11</t>
  </si>
  <si>
    <t>Paints and varnishes: Not containing organic solvents or other hazardous substances</t>
  </si>
  <si>
    <t>08-01-12</t>
  </si>
  <si>
    <t>15-01-01</t>
  </si>
  <si>
    <t>15-01-02</t>
  </si>
  <si>
    <t>Packaging: Metal</t>
  </si>
  <si>
    <t>15-01-04</t>
  </si>
  <si>
    <t>Packaging: Glass</t>
  </si>
  <si>
    <t>15-01-07</t>
  </si>
  <si>
    <t>Packaging: Textiles</t>
  </si>
  <si>
    <t>15-01-09</t>
  </si>
  <si>
    <t>Packaging: Paint cans (Metal /Plastic)</t>
  </si>
  <si>
    <t>15-01-10</t>
  </si>
  <si>
    <t xml:space="preserve">OSB wooden boards </t>
  </si>
  <si>
    <t xml:space="preserve">post crete </t>
  </si>
  <si>
    <t>%</t>
  </si>
  <si>
    <t>Waste</t>
  </si>
  <si>
    <t>Source</t>
  </si>
  <si>
    <t>Welfare</t>
  </si>
  <si>
    <t>Non-construction</t>
  </si>
  <si>
    <t>Description</t>
  </si>
  <si>
    <t>Quantity</t>
  </si>
  <si>
    <t>Unit</t>
  </si>
  <si>
    <t>Total Price</t>
  </si>
  <si>
    <t>Kingspan insulation (100x600x1000)</t>
  </si>
  <si>
    <t>Timber stud (25x25)</t>
  </si>
  <si>
    <t>Plastic pipe 1/2 inch</t>
  </si>
  <si>
    <t>Shelving board (600x900)</t>
  </si>
  <si>
    <t>Plastic drain pipe (80mm dia)</t>
  </si>
  <si>
    <t>Timber  post 100x100x1200</t>
  </si>
  <si>
    <t>Kingspan insulation (100x900x900)</t>
  </si>
  <si>
    <t>Timber I-beam floor joist 150m deep</t>
  </si>
  <si>
    <t>metal door stopper</t>
  </si>
  <si>
    <t>Common house brick</t>
  </si>
  <si>
    <t>Kingspan insulation (100x600x2500)</t>
  </si>
  <si>
    <t>Sawn timber 40x100</t>
  </si>
  <si>
    <t>Glass wool 200mm thick</t>
  </si>
  <si>
    <t>Skip Hire (8 yard mixed waste)</t>
  </si>
  <si>
    <t>80x80x3000</t>
  </si>
  <si>
    <t xml:space="preserve">plastic down pipe </t>
  </si>
  <si>
    <t>breeze blocks</t>
  </si>
  <si>
    <t>Breeze Block</t>
  </si>
  <si>
    <t>UPVC soffit board</t>
  </si>
  <si>
    <t>OSB Sheeting</t>
  </si>
  <si>
    <t>linear meter</t>
  </si>
  <si>
    <t>each</t>
  </si>
  <si>
    <t>box</t>
  </si>
  <si>
    <t>roll</t>
  </si>
  <si>
    <t>square meter</t>
  </si>
  <si>
    <t>Packaging</t>
  </si>
  <si>
    <t>cubic meter</t>
  </si>
  <si>
    <t>-</t>
  </si>
  <si>
    <t>TOTAL MATERIALS COST</t>
  </si>
  <si>
    <t>Equipment (telehandler fuel)</t>
  </si>
  <si>
    <t>TOTAL</t>
  </si>
  <si>
    <t>Fence slats 30x100x1800*</t>
  </si>
  <si>
    <t>debris netting*</t>
  </si>
  <si>
    <t>Post crete 25kg bag*</t>
  </si>
  <si>
    <t>Metal (crowd control) barrier fence*</t>
  </si>
  <si>
    <t>Plastic (crowd control) barrier fence*</t>
  </si>
  <si>
    <t>Packaging - single use sling*</t>
  </si>
  <si>
    <t>VAT (0% Labour &amp; Building Materials; Other Costs* 20%)</t>
  </si>
  <si>
    <t>100m</t>
  </si>
  <si>
    <t>30m</t>
  </si>
  <si>
    <t>50m</t>
  </si>
  <si>
    <t>Labour</t>
  </si>
  <si>
    <t>Cost of damages and errors</t>
  </si>
  <si>
    <t>Timber</t>
  </si>
  <si>
    <t>Plastic</t>
  </si>
  <si>
    <t>Metal</t>
  </si>
  <si>
    <t>Brick/Block/ Concrete</t>
  </si>
  <si>
    <t>Unrecovered packaging</t>
  </si>
  <si>
    <t>Stripping out previous work</t>
  </si>
  <si>
    <t>Damaged</t>
  </si>
  <si>
    <t>Non-Construction</t>
  </si>
  <si>
    <t>Mostly recyclable</t>
  </si>
  <si>
    <t>Slight damage/ Reparable</t>
  </si>
  <si>
    <t>Good as new</t>
  </si>
  <si>
    <t>Breathable Roofing Paper</t>
  </si>
  <si>
    <t>latex gloves x100*</t>
  </si>
  <si>
    <t>Wooden broom*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</si>
</sst>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£&quot;* #,##0.00_-;\-&quot;£&quot;* #,##0.00_-;_-&quot;£&quot;* &quot;-&quot;??_-;_-@_-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56">
    <xf numFmtId="0" fontId="0" fillId="0" borderId="0" xfId="0"/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" fillId="0" borderId="0" xfId="0" applyFont="1"/>
    <xf numFmtId="49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/>
    <xf numFmtId="14" fontId="0" fillId="0" borderId="0" xfId="0" applyNumberFormat="1" applyAlignmen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vertical="center" wrapText="1"/>
    </xf>
    <xf numFmtId="20" fontId="0" fillId="2" borderId="3" xfId="0" applyNumberFormat="1" applyFill="1" applyBorder="1" applyAlignment="1">
      <alignment vertical="center" wrapText="1"/>
    </xf>
    <xf numFmtId="0" fontId="0" fillId="0" borderId="0" xfId="0" applyNumberFormat="1"/>
    <xf numFmtId="0" fontId="0" fillId="0" borderId="3" xfId="0" applyNumberFormat="1" applyBorder="1" applyAlignment="1">
      <alignment vertical="center" wrapText="1"/>
    </xf>
    <xf numFmtId="20" fontId="0" fillId="3" borderId="3" xfId="0" applyNumberFormat="1" applyFill="1" applyBorder="1" applyAlignment="1">
      <alignment vertical="center" wrapText="1"/>
    </xf>
    <xf numFmtId="0" fontId="0" fillId="4" borderId="3" xfId="0" applyFill="1" applyBorder="1" applyAlignment="1">
      <alignment vertical="center" wrapText="1"/>
    </xf>
    <xf numFmtId="0" fontId="0" fillId="0" borderId="3" xfId="0" applyFill="1" applyBorder="1" applyAlignment="1">
      <alignment vertical="center" wrapText="1"/>
    </xf>
    <xf numFmtId="0" fontId="0" fillId="4" borderId="0" xfId="0" applyFill="1"/>
    <xf numFmtId="0" fontId="0" fillId="0" borderId="0" xfId="0" applyFill="1"/>
    <xf numFmtId="0" fontId="0" fillId="0" borderId="4" xfId="0" applyBorder="1"/>
    <xf numFmtId="0" fontId="1" fillId="0" borderId="0" xfId="0" applyFont="1" applyAlignment="1">
      <alignment horizontal="center" vertical="center"/>
    </xf>
    <xf numFmtId="2" fontId="0" fillId="0" borderId="0" xfId="0" applyNumberFormat="1"/>
    <xf numFmtId="44" fontId="0" fillId="0" borderId="0" xfId="1" applyFont="1"/>
    <xf numFmtId="44" fontId="0" fillId="0" borderId="0" xfId="0" applyNumberFormat="1"/>
    <xf numFmtId="0" fontId="0" fillId="0" borderId="5" xfId="0" applyBorder="1"/>
    <xf numFmtId="44" fontId="1" fillId="0" borderId="0" xfId="0" applyNumberFormat="1" applyFont="1"/>
    <xf numFmtId="2" fontId="0" fillId="0" borderId="0" xfId="0" applyNumberFormat="1" applyFont="1"/>
    <xf numFmtId="0" fontId="0" fillId="0" borderId="0" xfId="0" applyFont="1"/>
    <xf numFmtId="0" fontId="0" fillId="0" borderId="6" xfId="0" applyBorder="1"/>
    <xf numFmtId="0" fontId="0" fillId="0" borderId="3" xfId="0" applyBorder="1" applyAlignment="1">
      <alignment horizontal="left" vertical="center" wrapText="1"/>
    </xf>
    <xf numFmtId="44" fontId="0" fillId="0" borderId="6" xfId="1" applyFont="1" applyBorder="1"/>
    <xf numFmtId="44" fontId="1" fillId="0" borderId="0" xfId="1" applyFont="1"/>
    <xf numFmtId="0" fontId="0" fillId="0" borderId="2" xfId="0" applyFill="1" applyBorder="1" applyAlignment="1">
      <alignment vertical="center" wrapText="1"/>
    </xf>
    <xf numFmtId="20" fontId="0" fillId="0" borderId="3" xfId="0" applyNumberFormat="1" applyFill="1" applyBorder="1" applyAlignment="1">
      <alignment vertical="center" wrapText="1"/>
    </xf>
    <xf numFmtId="0" fontId="0" fillId="0" borderId="3" xfId="0" applyNumberFormat="1" applyFill="1" applyBorder="1" applyAlignment="1">
      <alignment vertical="center" wrapText="1"/>
    </xf>
    <xf numFmtId="0" fontId="0" fillId="0" borderId="3" xfId="0" applyFill="1" applyBorder="1" applyAlignment="1">
      <alignment horizontal="left" vertical="center" wrapText="1"/>
    </xf>
    <xf numFmtId="0" fontId="0" fillId="0" borderId="4" xfId="0" applyFill="1" applyBorder="1"/>
    <xf numFmtId="2" fontId="0" fillId="0" borderId="3" xfId="0" applyNumberForma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4" fillId="0" borderId="0" xfId="0" applyFont="1"/>
    <xf numFmtId="0" fontId="5" fillId="0" borderId="0" xfId="0" applyFont="1" applyAlignment="1">
      <alignment horizontal="center" vertical="center"/>
    </xf>
    <xf numFmtId="2" fontId="4" fillId="0" borderId="0" xfId="0" applyNumberFormat="1" applyFont="1"/>
    <xf numFmtId="2" fontId="5" fillId="0" borderId="0" xfId="0" applyNumberFormat="1" applyFont="1" applyFill="1"/>
    <xf numFmtId="0" fontId="1" fillId="0" borderId="1" xfId="0" applyFont="1" applyBorder="1" applyAlignment="1">
      <alignment vertical="center" textRotation="45" wrapText="1"/>
    </xf>
    <xf numFmtId="0" fontId="1" fillId="0" borderId="2" xfId="0" applyFont="1" applyBorder="1" applyAlignment="1">
      <alignment vertical="center" textRotation="45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textRotation="90" wrapText="1"/>
    </xf>
    <xf numFmtId="0" fontId="1" fillId="0" borderId="2" xfId="0" applyFont="1" applyBorder="1" applyAlignment="1">
      <alignment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45" wrapText="1"/>
    </xf>
    <xf numFmtId="0" fontId="1" fillId="0" borderId="2" xfId="0" applyFont="1" applyBorder="1" applyAlignment="1">
      <alignment horizontal="center" vertical="center" textRotation="45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3: Waste (%)</a:t>
            </a:r>
            <a:endParaRPr lang="en-GB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ECD8-4E58-95B7-529BA1E70F1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ECD8-4E58-95B7-529BA1E70F1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ECD8-4E58-95B7-529BA1E70F1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ECD8-4E58-95B7-529BA1E70F19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ECD8-4E58-95B7-529BA1E70F19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ECD8-4E58-95B7-529BA1E70F19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7A9-49A6-9473-9AA13A5FC35E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7A9-49A6-9473-9AA13A5FC35E}"/>
              </c:ext>
            </c:extLst>
          </c:dPt>
          <c:dPt>
            <c:idx val="8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1-ECD8-4E58-95B7-529BA1E70F19}"/>
              </c:ext>
            </c:extLst>
          </c:dPt>
          <c:dLbls>
            <c:dLbl>
              <c:idx val="7"/>
              <c:layout>
                <c:manualLayout>
                  <c:x val="-0.18514902850258472"/>
                  <c:y val="2.67516039661708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7A9-49A6-9473-9AA13A5FC35E}"/>
                </c:ext>
              </c:extLst>
            </c:dLbl>
            <c:dLbl>
              <c:idx val="8"/>
              <c:layout>
                <c:manualLayout>
                  <c:x val="0.26132708821233414"/>
                  <c:y val="1.2173738699329251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ECD8-4E58-95B7-529BA1E70F1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Sheet4!$H$3:$H$11</c:f>
              <c:strCache>
                <c:ptCount val="9"/>
                <c:pt idx="0">
                  <c:v>Insulation</c:v>
                </c:pt>
                <c:pt idx="1">
                  <c:v>Timber</c:v>
                </c:pt>
                <c:pt idx="2">
                  <c:v>Plastic</c:v>
                </c:pt>
                <c:pt idx="3">
                  <c:v>Metal</c:v>
                </c:pt>
                <c:pt idx="4">
                  <c:v>Brick/Block/ Concrete</c:v>
                </c:pt>
                <c:pt idx="5">
                  <c:v>Cables</c:v>
                </c:pt>
                <c:pt idx="6">
                  <c:v>Packaging</c:v>
                </c:pt>
                <c:pt idx="7">
                  <c:v>Welfare</c:v>
                </c:pt>
                <c:pt idx="8">
                  <c:v>Other</c:v>
                </c:pt>
              </c:strCache>
            </c:strRef>
          </c:cat>
          <c:val>
            <c:numRef>
              <c:f>Sheet4!$I$3:$I$11</c:f>
              <c:numCache>
                <c:formatCode>0.00</c:formatCode>
                <c:ptCount val="9"/>
                <c:pt idx="0">
                  <c:v>29.701426018925737</c:v>
                </c:pt>
                <c:pt idx="1">
                  <c:v>14.945922580645759</c:v>
                </c:pt>
                <c:pt idx="2">
                  <c:v>13.941629362720636</c:v>
                </c:pt>
                <c:pt idx="3">
                  <c:v>6.720772676393584</c:v>
                </c:pt>
                <c:pt idx="4">
                  <c:v>1.0996127943895619</c:v>
                </c:pt>
                <c:pt idx="5">
                  <c:v>0.60502904853367256</c:v>
                </c:pt>
                <c:pt idx="6">
                  <c:v>30.058779496109409</c:v>
                </c:pt>
                <c:pt idx="7">
                  <c:v>0.42970813106084693</c:v>
                </c:pt>
                <c:pt idx="8">
                  <c:v>2.4971198912207933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A9-49A6-9473-9AA13A5FC3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 3: Source (%)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3A-4312-ADE8-127F3CB21FA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3A-4312-ADE8-127F3CB21FA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3A-4312-ADE8-127F3CB21FA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3A-4312-ADE8-127F3CB21FA2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833A-4312-ADE8-127F3CB21FA2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833A-4312-ADE8-127F3CB21FA2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Sheet4!$K$3:$K$8</c:f>
              <c:strCache>
                <c:ptCount val="6"/>
                <c:pt idx="0">
                  <c:v>Cutting waste</c:v>
                </c:pt>
                <c:pt idx="1">
                  <c:v>Unrecovered packaging</c:v>
                </c:pt>
                <c:pt idx="2">
                  <c:v>Stripping out previous work</c:v>
                </c:pt>
                <c:pt idx="3">
                  <c:v>Wrongly specified</c:v>
                </c:pt>
                <c:pt idx="4">
                  <c:v>Damaged</c:v>
                </c:pt>
                <c:pt idx="5">
                  <c:v>Non-Construction</c:v>
                </c:pt>
              </c:strCache>
            </c:strRef>
          </c:cat>
          <c:val>
            <c:numRef>
              <c:f>Sheet4!$L$3:$L$8</c:f>
              <c:numCache>
                <c:formatCode>0.00</c:formatCode>
                <c:ptCount val="6"/>
                <c:pt idx="0">
                  <c:v>34.365814964634922</c:v>
                </c:pt>
                <c:pt idx="1">
                  <c:v>30.058779496109409</c:v>
                </c:pt>
                <c:pt idx="2">
                  <c:v>8.8285838762033482</c:v>
                </c:pt>
                <c:pt idx="3">
                  <c:v>4.0014421164386063</c:v>
                </c:pt>
                <c:pt idx="4">
                  <c:v>21.772245324688079</c:v>
                </c:pt>
                <c:pt idx="5">
                  <c:v>0.97313422192563626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A91-43C3-8371-0D169D1A5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Site</a:t>
            </a:r>
            <a:r>
              <a:rPr lang="en-GB" baseline="0"/>
              <a:t> 3: Condition (%)</a:t>
            </a:r>
            <a:endParaRPr lang="en-GB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32AE-4F4C-AE05-720FA7F6C14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2AE-4F4C-AE05-720FA7F6C14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32AE-4F4C-AE05-720FA7F6C14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32AE-4F4C-AE05-720FA7F6C148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32AE-4F4C-AE05-720FA7F6C148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32AE-4F4C-AE05-720FA7F6C148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Sheet4!$M$3:$M$8</c:f>
              <c:strCache>
                <c:ptCount val="6"/>
                <c:pt idx="0">
                  <c:v>Good as new</c:v>
                </c:pt>
                <c:pt idx="1">
                  <c:v>Reusable</c:v>
                </c:pt>
                <c:pt idx="2">
                  <c:v>Mostly recyclable</c:v>
                </c:pt>
                <c:pt idx="3">
                  <c:v>Suitable for recycling</c:v>
                </c:pt>
                <c:pt idx="4">
                  <c:v>Slight damage/ Reparable</c:v>
                </c:pt>
                <c:pt idx="5">
                  <c:v>Landfill</c:v>
                </c:pt>
              </c:strCache>
            </c:strRef>
          </c:cat>
          <c:val>
            <c:numRef>
              <c:f>Sheet4!$N$3:$N$8</c:f>
              <c:numCache>
                <c:formatCode>0.00</c:formatCode>
                <c:ptCount val="6"/>
                <c:pt idx="0">
                  <c:v>4.0014421164386063</c:v>
                </c:pt>
                <c:pt idx="1">
                  <c:v>3.2931181085280032</c:v>
                </c:pt>
                <c:pt idx="2">
                  <c:v>9.8351597037206648</c:v>
                </c:pt>
                <c:pt idx="3">
                  <c:v>39.824717056350366</c:v>
                </c:pt>
                <c:pt idx="4">
                  <c:v>1.3517448997057757</c:v>
                </c:pt>
                <c:pt idx="5">
                  <c:v>41.69381811525659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59-4A31-AB34-125FA04731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12</xdr:row>
      <xdr:rowOff>0</xdr:rowOff>
    </xdr:from>
    <xdr:to>
      <xdr:col>10</xdr:col>
      <xdr:colOff>1485900</xdr:colOff>
      <xdr:row>26</xdr:row>
      <xdr:rowOff>76200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247650</xdr:colOff>
      <xdr:row>26</xdr:row>
      <xdr:rowOff>180975</xdr:rowOff>
    </xdr:from>
    <xdr:to>
      <xdr:col>11</xdr:col>
      <xdr:colOff>257175</xdr:colOff>
      <xdr:row>41</xdr:row>
      <xdr:rowOff>66675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219075</xdr:colOff>
      <xdr:row>41</xdr:row>
      <xdr:rowOff>180975</xdr:rowOff>
    </xdr:from>
    <xdr:to>
      <xdr:col>11</xdr:col>
      <xdr:colOff>228600</xdr:colOff>
      <xdr:row>56</xdr:row>
      <xdr:rowOff>66675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07"/>
  <sheetViews>
    <sheetView tabSelected="1" workbookViewId="0"/>
  </sheetViews>
  <sheetFormatPr defaultRowHeight="15" x14ac:dyDescent="0.25"/>
  <cols>
    <col min="2" max="2" width="12.28515625" customWidth="1"/>
    <col min="3" max="3" width="12.42578125" customWidth="1"/>
    <col min="4" max="4" width="63.7109375" customWidth="1"/>
    <col min="5" max="5" width="22.85546875" style="11" customWidth="1"/>
    <col min="6" max="6" width="60.5703125" customWidth="1"/>
    <col min="7" max="7" width="44" customWidth="1"/>
    <col min="8" max="8" width="25.7109375" customWidth="1"/>
    <col min="10" max="10" width="21.140625" customWidth="1"/>
    <col min="11" max="11" width="20" customWidth="1"/>
    <col min="12" max="12" width="47.42578125" customWidth="1"/>
  </cols>
  <sheetData>
    <row r="1" spans="1:12" ht="20.25" customHeight="1" x14ac:dyDescent="0.25">
      <c r="A1" s="3" t="s">
        <v>0</v>
      </c>
      <c r="B1" t="s">
        <v>1</v>
      </c>
    </row>
    <row r="2" spans="1:12" ht="27" customHeight="1" x14ac:dyDescent="0.25">
      <c r="A2" s="3" t="s">
        <v>2</v>
      </c>
      <c r="B2" s="7">
        <v>43873</v>
      </c>
    </row>
    <row r="3" spans="1:12" ht="24" customHeight="1" x14ac:dyDescent="0.25">
      <c r="A3" s="3" t="s">
        <v>3</v>
      </c>
      <c r="B3" s="6" t="s">
        <v>4</v>
      </c>
    </row>
    <row r="5" spans="1:12" ht="15.75" thickBot="1" x14ac:dyDescent="0.3">
      <c r="D5" s="3" t="s">
        <v>5</v>
      </c>
      <c r="G5" s="3" t="s">
        <v>5</v>
      </c>
    </row>
    <row r="6" spans="1:12" s="5" customFormat="1" ht="58.5" customHeight="1" x14ac:dyDescent="0.25">
      <c r="B6" s="46" t="s">
        <v>6</v>
      </c>
      <c r="C6" s="46" t="s">
        <v>7</v>
      </c>
      <c r="D6" s="48" t="s">
        <v>8</v>
      </c>
      <c r="E6" s="54" t="s">
        <v>9</v>
      </c>
      <c r="F6" s="52" t="s">
        <v>10</v>
      </c>
      <c r="G6" s="48" t="s">
        <v>11</v>
      </c>
      <c r="H6" s="50" t="s">
        <v>12</v>
      </c>
      <c r="I6" s="42" t="s">
        <v>13</v>
      </c>
      <c r="J6" s="42" t="s">
        <v>14</v>
      </c>
      <c r="K6" s="42" t="s">
        <v>15</v>
      </c>
      <c r="L6" s="44" t="s">
        <v>16</v>
      </c>
    </row>
    <row r="7" spans="1:12" ht="15.75" thickBot="1" x14ac:dyDescent="0.3">
      <c r="B7" s="47"/>
      <c r="C7" s="47"/>
      <c r="D7" s="49"/>
      <c r="E7" s="55"/>
      <c r="F7" s="53"/>
      <c r="G7" s="49"/>
      <c r="H7" s="51"/>
      <c r="I7" s="43"/>
      <c r="J7" s="43"/>
      <c r="K7" s="43"/>
      <c r="L7" s="45"/>
    </row>
    <row r="8" spans="1:12" ht="27.75" customHeight="1" thickBot="1" x14ac:dyDescent="0.3">
      <c r="B8" s="1">
        <v>1</v>
      </c>
      <c r="C8" s="13"/>
      <c r="D8" s="2" t="s">
        <v>17</v>
      </c>
      <c r="E8" s="12" t="str">
        <f t="shared" ref="E8:E39" si="0">IF(ISNA(VLOOKUP(D8,TYW,2,FALSE)),"",VLOOKUP(D8,TYW,2,FALSE))</f>
        <v>17-06-04</v>
      </c>
      <c r="F8" s="2" t="s">
        <v>18</v>
      </c>
      <c r="G8" s="2" t="s">
        <v>19</v>
      </c>
      <c r="H8" s="2"/>
      <c r="I8" s="2">
        <v>12</v>
      </c>
      <c r="J8" s="2" t="s">
        <v>20</v>
      </c>
      <c r="K8" s="2"/>
      <c r="L8" s="2" t="s">
        <v>21</v>
      </c>
    </row>
    <row r="9" spans="1:12" ht="15.75" thickBot="1" x14ac:dyDescent="0.3">
      <c r="B9" s="1">
        <v>2</v>
      </c>
      <c r="C9" s="13"/>
      <c r="D9" s="2" t="s">
        <v>22</v>
      </c>
      <c r="E9" s="12" t="str">
        <f t="shared" si="0"/>
        <v>17-02-03</v>
      </c>
      <c r="F9" s="2" t="s">
        <v>23</v>
      </c>
      <c r="G9" s="2" t="s">
        <v>24</v>
      </c>
      <c r="H9" s="8"/>
      <c r="I9" s="2">
        <v>3</v>
      </c>
      <c r="J9" s="2" t="s">
        <v>25</v>
      </c>
      <c r="K9" s="2"/>
      <c r="L9" s="2" t="s">
        <v>26</v>
      </c>
    </row>
    <row r="10" spans="1:12" ht="15.75" thickBot="1" x14ac:dyDescent="0.3">
      <c r="B10" s="1">
        <v>3</v>
      </c>
      <c r="C10" s="13"/>
      <c r="D10" s="9" t="s">
        <v>27</v>
      </c>
      <c r="E10" s="12">
        <f t="shared" si="0"/>
        <v>0</v>
      </c>
      <c r="F10" s="2" t="s">
        <v>28</v>
      </c>
      <c r="G10" s="2"/>
      <c r="H10" s="8"/>
      <c r="I10" s="2">
        <v>1</v>
      </c>
      <c r="J10" s="2" t="s">
        <v>29</v>
      </c>
      <c r="K10" s="2"/>
      <c r="L10" s="2" t="s">
        <v>30</v>
      </c>
    </row>
    <row r="11" spans="1:12" x14ac:dyDescent="0.25">
      <c r="B11" s="1">
        <v>4</v>
      </c>
      <c r="C11" s="13"/>
      <c r="D11" s="9" t="s">
        <v>31</v>
      </c>
      <c r="E11" s="12" t="str">
        <f t="shared" si="0"/>
        <v>17-02-01</v>
      </c>
      <c r="F11" s="2" t="s">
        <v>32</v>
      </c>
      <c r="G11" s="2" t="s">
        <v>19</v>
      </c>
      <c r="H11" s="8"/>
      <c r="I11" s="2">
        <v>10</v>
      </c>
      <c r="J11" s="2" t="s">
        <v>33</v>
      </c>
      <c r="K11" s="2"/>
      <c r="L11" s="2" t="s">
        <v>26</v>
      </c>
    </row>
    <row r="12" spans="1:12" x14ac:dyDescent="0.25">
      <c r="B12" s="1">
        <v>5</v>
      </c>
      <c r="C12" s="13"/>
      <c r="D12" s="9" t="s">
        <v>34</v>
      </c>
      <c r="E12" s="12" t="str">
        <f t="shared" si="0"/>
        <v>15-01-02</v>
      </c>
      <c r="F12" s="2" t="s">
        <v>35</v>
      </c>
      <c r="G12" s="2" t="s">
        <v>24</v>
      </c>
      <c r="H12" s="8"/>
      <c r="I12" s="2">
        <v>8</v>
      </c>
      <c r="J12" s="2" t="s">
        <v>36</v>
      </c>
      <c r="K12" s="2"/>
      <c r="L12" s="2"/>
    </row>
    <row r="13" spans="1:12" ht="15.75" thickBot="1" x14ac:dyDescent="0.3">
      <c r="B13" s="1">
        <v>6</v>
      </c>
      <c r="C13" s="13"/>
      <c r="D13" s="9" t="s">
        <v>34</v>
      </c>
      <c r="E13" s="12" t="str">
        <f t="shared" si="0"/>
        <v>15-01-02</v>
      </c>
      <c r="F13" s="2" t="s">
        <v>37</v>
      </c>
      <c r="G13" s="2" t="s">
        <v>24</v>
      </c>
      <c r="H13" s="8"/>
      <c r="I13" s="2">
        <v>1</v>
      </c>
      <c r="J13" s="2" t="s">
        <v>38</v>
      </c>
      <c r="K13" s="2"/>
      <c r="L13" s="2" t="s">
        <v>26</v>
      </c>
    </row>
    <row r="14" spans="1:12" ht="15.75" thickBot="1" x14ac:dyDescent="0.3">
      <c r="B14" s="1">
        <v>7</v>
      </c>
      <c r="C14" s="13"/>
      <c r="D14" s="9" t="s">
        <v>34</v>
      </c>
      <c r="E14" s="12" t="str">
        <f t="shared" si="0"/>
        <v>15-01-02</v>
      </c>
      <c r="F14" s="2" t="s">
        <v>39</v>
      </c>
      <c r="G14" s="2" t="s">
        <v>24</v>
      </c>
      <c r="H14" s="8"/>
      <c r="I14" s="2">
        <v>3</v>
      </c>
      <c r="J14" s="2" t="s">
        <v>40</v>
      </c>
      <c r="K14" s="2"/>
      <c r="L14" s="2" t="s">
        <v>26</v>
      </c>
    </row>
    <row r="15" spans="1:12" ht="15.75" thickBot="1" x14ac:dyDescent="0.3">
      <c r="B15" s="1">
        <v>8</v>
      </c>
      <c r="C15" s="10"/>
      <c r="D15" s="9" t="s">
        <v>22</v>
      </c>
      <c r="E15" s="12" t="str">
        <f t="shared" si="0"/>
        <v>17-02-03</v>
      </c>
      <c r="F15" s="2" t="s">
        <v>23</v>
      </c>
      <c r="G15" s="2" t="s">
        <v>24</v>
      </c>
      <c r="H15" s="8"/>
      <c r="I15" s="2">
        <v>7</v>
      </c>
      <c r="J15" s="2" t="s">
        <v>25</v>
      </c>
      <c r="K15" s="2"/>
      <c r="L15" s="2" t="s">
        <v>26</v>
      </c>
    </row>
    <row r="16" spans="1:12" x14ac:dyDescent="0.25">
      <c r="B16" s="1">
        <v>9</v>
      </c>
      <c r="C16" s="10"/>
      <c r="D16" s="9" t="s">
        <v>22</v>
      </c>
      <c r="E16" s="12" t="str">
        <f t="shared" si="0"/>
        <v>17-02-03</v>
      </c>
      <c r="F16" s="2" t="s">
        <v>41</v>
      </c>
      <c r="G16" s="2" t="s">
        <v>19</v>
      </c>
      <c r="H16" s="2"/>
      <c r="I16" s="2">
        <v>1</v>
      </c>
      <c r="J16" s="2" t="s">
        <v>42</v>
      </c>
      <c r="K16" s="2"/>
      <c r="L16" s="2" t="s">
        <v>21</v>
      </c>
    </row>
    <row r="17" spans="2:12" x14ac:dyDescent="0.25">
      <c r="B17" s="1">
        <v>10</v>
      </c>
      <c r="C17" s="10"/>
      <c r="D17" s="9" t="s">
        <v>43</v>
      </c>
      <c r="E17" s="12" t="str">
        <f t="shared" si="0"/>
        <v>15-01-01</v>
      </c>
      <c r="F17" s="2" t="s">
        <v>44</v>
      </c>
      <c r="G17" s="2" t="s">
        <v>24</v>
      </c>
      <c r="H17" s="8"/>
      <c r="I17" s="2">
        <v>1</v>
      </c>
      <c r="J17" s="2" t="s">
        <v>45</v>
      </c>
      <c r="K17" s="2"/>
      <c r="L17" s="2" t="s">
        <v>26</v>
      </c>
    </row>
    <row r="18" spans="2:12" x14ac:dyDescent="0.25">
      <c r="B18" s="1">
        <v>11</v>
      </c>
      <c r="C18" s="10"/>
      <c r="D18" s="9" t="s">
        <v>46</v>
      </c>
      <c r="E18" s="12" t="str">
        <f t="shared" si="0"/>
        <v>17-02-04</v>
      </c>
      <c r="F18" s="2" t="s">
        <v>47</v>
      </c>
      <c r="G18" s="2" t="s">
        <v>19</v>
      </c>
      <c r="H18" s="8"/>
      <c r="I18" s="2">
        <v>1</v>
      </c>
      <c r="J18" s="2" t="s">
        <v>48</v>
      </c>
      <c r="K18" s="2"/>
      <c r="L18" s="2" t="s">
        <v>49</v>
      </c>
    </row>
    <row r="19" spans="2:12" x14ac:dyDescent="0.25">
      <c r="B19" s="1">
        <v>12</v>
      </c>
      <c r="C19" s="9"/>
      <c r="D19" s="9" t="s">
        <v>31</v>
      </c>
      <c r="E19" s="12" t="str">
        <f t="shared" si="0"/>
        <v>17-02-01</v>
      </c>
      <c r="F19" s="2" t="s">
        <v>32</v>
      </c>
      <c r="G19" s="2" t="s">
        <v>19</v>
      </c>
      <c r="H19" s="8"/>
      <c r="I19" s="2">
        <v>6</v>
      </c>
      <c r="J19" s="2" t="s">
        <v>50</v>
      </c>
      <c r="K19" s="2"/>
      <c r="L19" s="2" t="s">
        <v>26</v>
      </c>
    </row>
    <row r="20" spans="2:12" x14ac:dyDescent="0.25">
      <c r="B20" s="1">
        <v>13</v>
      </c>
      <c r="C20" s="10"/>
      <c r="D20" s="9" t="s">
        <v>27</v>
      </c>
      <c r="E20" s="12">
        <f t="shared" si="0"/>
        <v>0</v>
      </c>
      <c r="F20" s="14" t="s">
        <v>51</v>
      </c>
      <c r="G20" s="2" t="s">
        <v>52</v>
      </c>
      <c r="H20" s="2"/>
      <c r="I20" s="2">
        <v>1</v>
      </c>
      <c r="J20" s="2"/>
      <c r="K20" s="2"/>
      <c r="L20" s="2" t="s">
        <v>21</v>
      </c>
    </row>
    <row r="21" spans="2:12" x14ac:dyDescent="0.25">
      <c r="B21" s="1">
        <v>14</v>
      </c>
      <c r="C21" s="10"/>
      <c r="D21" s="9" t="s">
        <v>22</v>
      </c>
      <c r="E21" s="12" t="str">
        <f t="shared" si="0"/>
        <v>17-02-03</v>
      </c>
      <c r="F21" s="2" t="s">
        <v>53</v>
      </c>
      <c r="G21" s="2" t="s">
        <v>19</v>
      </c>
      <c r="H21" s="2"/>
      <c r="I21" s="2">
        <v>1</v>
      </c>
      <c r="J21" s="2" t="s">
        <v>54</v>
      </c>
      <c r="K21" s="2"/>
      <c r="L21" s="2" t="s">
        <v>26</v>
      </c>
    </row>
    <row r="22" spans="2:12" ht="15.75" thickBot="1" x14ac:dyDescent="0.3">
      <c r="B22" s="1">
        <v>15</v>
      </c>
      <c r="C22" s="10"/>
      <c r="D22" s="9" t="s">
        <v>22</v>
      </c>
      <c r="E22" s="12" t="str">
        <f t="shared" si="0"/>
        <v>17-02-03</v>
      </c>
      <c r="F22" s="14" t="s">
        <v>55</v>
      </c>
      <c r="G22" s="2" t="s">
        <v>52</v>
      </c>
      <c r="H22" s="2"/>
      <c r="I22" s="2">
        <v>1</v>
      </c>
      <c r="J22" s="2" t="s">
        <v>56</v>
      </c>
      <c r="K22" s="2"/>
      <c r="L22" s="2" t="s">
        <v>21</v>
      </c>
    </row>
    <row r="23" spans="2:12" ht="15.75" thickBot="1" x14ac:dyDescent="0.3">
      <c r="B23" s="1">
        <v>16</v>
      </c>
      <c r="C23" s="10"/>
      <c r="D23" s="9" t="s">
        <v>27</v>
      </c>
      <c r="E23" s="12">
        <f t="shared" si="0"/>
        <v>0</v>
      </c>
      <c r="F23" s="2" t="s">
        <v>57</v>
      </c>
      <c r="G23" s="2"/>
      <c r="H23" s="2"/>
      <c r="I23" s="2">
        <v>1</v>
      </c>
      <c r="J23" s="2" t="s">
        <v>58</v>
      </c>
      <c r="K23" s="2"/>
      <c r="L23" s="2" t="s">
        <v>49</v>
      </c>
    </row>
    <row r="24" spans="2:12" ht="15.75" thickBot="1" x14ac:dyDescent="0.3">
      <c r="B24" s="1">
        <v>17</v>
      </c>
      <c r="C24" s="13"/>
      <c r="D24" s="9" t="s">
        <v>31</v>
      </c>
      <c r="E24" s="12" t="str">
        <f t="shared" si="0"/>
        <v>17-02-01</v>
      </c>
      <c r="F24" s="2" t="s">
        <v>32</v>
      </c>
      <c r="G24" s="2" t="s">
        <v>59</v>
      </c>
      <c r="H24" s="8"/>
      <c r="I24" s="2">
        <v>3</v>
      </c>
      <c r="J24" s="2" t="s">
        <v>60</v>
      </c>
      <c r="K24" s="2"/>
      <c r="L24" s="2" t="s">
        <v>26</v>
      </c>
    </row>
    <row r="25" spans="2:12" x14ac:dyDescent="0.25">
      <c r="B25" s="1">
        <v>18</v>
      </c>
      <c r="C25" s="13"/>
      <c r="D25" s="9" t="s">
        <v>17</v>
      </c>
      <c r="E25" s="12" t="str">
        <f t="shared" si="0"/>
        <v>17-06-04</v>
      </c>
      <c r="F25" s="2" t="s">
        <v>18</v>
      </c>
      <c r="G25" s="2" t="s">
        <v>19</v>
      </c>
      <c r="H25" s="8"/>
      <c r="I25" s="2">
        <v>1</v>
      </c>
      <c r="J25" s="2" t="s">
        <v>61</v>
      </c>
      <c r="K25" s="2"/>
      <c r="L25" s="2" t="s">
        <v>21</v>
      </c>
    </row>
    <row r="26" spans="2:12" x14ac:dyDescent="0.25">
      <c r="B26" s="1">
        <v>19</v>
      </c>
      <c r="C26" s="13"/>
      <c r="D26" s="9" t="s">
        <v>22</v>
      </c>
      <c r="E26" s="12" t="str">
        <f t="shared" si="0"/>
        <v>17-02-03</v>
      </c>
      <c r="F26" s="2" t="s">
        <v>62</v>
      </c>
      <c r="G26" s="2" t="s">
        <v>63</v>
      </c>
      <c r="H26" s="2"/>
      <c r="I26" s="2">
        <v>2</v>
      </c>
      <c r="J26" s="2">
        <v>250</v>
      </c>
      <c r="K26" s="2"/>
      <c r="L26" s="2" t="s">
        <v>64</v>
      </c>
    </row>
    <row r="27" spans="2:12" x14ac:dyDescent="0.25">
      <c r="B27" s="1">
        <v>20</v>
      </c>
      <c r="C27" s="13"/>
      <c r="D27" s="9" t="s">
        <v>31</v>
      </c>
      <c r="E27" s="12" t="str">
        <f t="shared" si="0"/>
        <v>17-02-01</v>
      </c>
      <c r="F27" s="2" t="s">
        <v>32</v>
      </c>
      <c r="G27" s="2" t="s">
        <v>19</v>
      </c>
      <c r="H27" s="2"/>
      <c r="I27" s="2">
        <v>10</v>
      </c>
      <c r="J27" s="2" t="s">
        <v>65</v>
      </c>
      <c r="K27" s="2"/>
      <c r="L27" s="2" t="s">
        <v>26</v>
      </c>
    </row>
    <row r="28" spans="2:12" x14ac:dyDescent="0.25">
      <c r="B28" s="1">
        <v>21</v>
      </c>
      <c r="C28" s="13"/>
      <c r="D28" s="9" t="s">
        <v>66</v>
      </c>
      <c r="E28" s="12" t="str">
        <f t="shared" si="0"/>
        <v>17-04-07</v>
      </c>
      <c r="F28" s="2" t="s">
        <v>67</v>
      </c>
      <c r="G28" s="2" t="s">
        <v>63</v>
      </c>
      <c r="H28" s="2"/>
      <c r="I28" s="2">
        <v>15</v>
      </c>
      <c r="J28" s="2"/>
      <c r="K28" s="2"/>
      <c r="L28" s="2" t="s">
        <v>64</v>
      </c>
    </row>
    <row r="29" spans="2:12" x14ac:dyDescent="0.25">
      <c r="B29" s="1">
        <v>22</v>
      </c>
      <c r="C29" s="13"/>
      <c r="D29" s="9" t="s">
        <v>68</v>
      </c>
      <c r="E29" s="12" t="str">
        <f t="shared" si="0"/>
        <v>17-01-02</v>
      </c>
      <c r="F29" s="2" t="s">
        <v>69</v>
      </c>
      <c r="G29" s="2" t="s">
        <v>19</v>
      </c>
      <c r="H29" s="8"/>
      <c r="I29" s="2">
        <v>2</v>
      </c>
      <c r="J29" s="2"/>
      <c r="K29" s="2"/>
      <c r="L29" s="2" t="s">
        <v>21</v>
      </c>
    </row>
    <row r="30" spans="2:12" ht="15.75" thickBot="1" x14ac:dyDescent="0.3">
      <c r="B30" s="1">
        <v>23</v>
      </c>
      <c r="C30" s="13"/>
      <c r="D30" s="9" t="s">
        <v>34</v>
      </c>
      <c r="E30" s="12" t="str">
        <f t="shared" si="0"/>
        <v>15-01-02</v>
      </c>
      <c r="F30" s="2" t="s">
        <v>37</v>
      </c>
      <c r="G30" s="2" t="s">
        <v>24</v>
      </c>
      <c r="H30" s="2"/>
      <c r="I30" s="2">
        <v>1</v>
      </c>
      <c r="J30" s="2"/>
      <c r="K30" s="2"/>
      <c r="L30" s="2" t="s">
        <v>26</v>
      </c>
    </row>
    <row r="31" spans="2:12" ht="15.75" thickBot="1" x14ac:dyDescent="0.3">
      <c r="B31" s="1">
        <v>24</v>
      </c>
      <c r="C31" s="13"/>
      <c r="D31" s="9" t="s">
        <v>27</v>
      </c>
      <c r="E31" s="12">
        <f t="shared" si="0"/>
        <v>0</v>
      </c>
      <c r="F31" s="2" t="s">
        <v>28</v>
      </c>
      <c r="G31" s="2"/>
      <c r="H31" s="2"/>
      <c r="I31" s="2">
        <v>4</v>
      </c>
      <c r="J31" s="2" t="s">
        <v>29</v>
      </c>
      <c r="K31" s="2"/>
      <c r="L31" s="2" t="s">
        <v>30</v>
      </c>
    </row>
    <row r="32" spans="2:12" ht="15.75" thickBot="1" x14ac:dyDescent="0.3">
      <c r="B32" s="1">
        <v>25</v>
      </c>
      <c r="C32" s="2"/>
      <c r="D32" s="9" t="s">
        <v>31</v>
      </c>
      <c r="E32" s="12" t="str">
        <f t="shared" si="0"/>
        <v>17-02-01</v>
      </c>
      <c r="F32" s="14" t="s">
        <v>70</v>
      </c>
      <c r="G32" s="2" t="s">
        <v>52</v>
      </c>
      <c r="H32" s="2"/>
      <c r="I32" s="2">
        <v>8</v>
      </c>
      <c r="J32" s="2" t="s">
        <v>60</v>
      </c>
      <c r="K32" s="2"/>
      <c r="L32" s="2" t="s">
        <v>71</v>
      </c>
    </row>
    <row r="33" spans="2:12" ht="15.75" thickBot="1" x14ac:dyDescent="0.3">
      <c r="B33" s="1">
        <v>26</v>
      </c>
      <c r="C33" s="2"/>
      <c r="D33" s="9" t="s">
        <v>31</v>
      </c>
      <c r="E33" s="12" t="str">
        <f t="shared" si="0"/>
        <v>17-02-01</v>
      </c>
      <c r="F33" s="14" t="s">
        <v>72</v>
      </c>
      <c r="G33" s="2" t="s">
        <v>52</v>
      </c>
      <c r="H33" s="2"/>
      <c r="I33" s="2">
        <v>22</v>
      </c>
      <c r="J33" s="2" t="s">
        <v>73</v>
      </c>
      <c r="K33" s="2"/>
      <c r="L33" s="2" t="s">
        <v>26</v>
      </c>
    </row>
    <row r="34" spans="2:12" ht="15.75" thickBot="1" x14ac:dyDescent="0.3">
      <c r="B34" s="1">
        <v>27</v>
      </c>
      <c r="C34" s="2"/>
      <c r="D34" s="9" t="s">
        <v>22</v>
      </c>
      <c r="E34" s="12" t="str">
        <f t="shared" si="0"/>
        <v>17-02-03</v>
      </c>
      <c r="F34" s="14" t="s">
        <v>74</v>
      </c>
      <c r="G34" s="2" t="s">
        <v>52</v>
      </c>
      <c r="H34" s="2"/>
      <c r="I34" s="2">
        <v>1</v>
      </c>
      <c r="J34" s="2" t="s">
        <v>75</v>
      </c>
      <c r="K34" s="2"/>
      <c r="L34" s="2" t="s">
        <v>21</v>
      </c>
    </row>
    <row r="35" spans="2:12" ht="15.75" thickBot="1" x14ac:dyDescent="0.3">
      <c r="B35" s="1">
        <v>28</v>
      </c>
      <c r="C35" s="2"/>
      <c r="D35" s="2" t="s">
        <v>76</v>
      </c>
      <c r="E35" s="12" t="str">
        <f t="shared" si="0"/>
        <v>17-01-01</v>
      </c>
      <c r="F35" s="14" t="s">
        <v>77</v>
      </c>
      <c r="G35" s="2" t="s">
        <v>52</v>
      </c>
      <c r="H35" s="2"/>
      <c r="I35" s="2">
        <v>3</v>
      </c>
      <c r="J35" s="2" t="s">
        <v>25</v>
      </c>
      <c r="K35" s="2"/>
      <c r="L35" s="2" t="s">
        <v>21</v>
      </c>
    </row>
    <row r="36" spans="2:12" ht="15.75" thickBot="1" x14ac:dyDescent="0.3">
      <c r="B36" s="1">
        <v>29</v>
      </c>
      <c r="C36" s="2"/>
      <c r="D36" s="2" t="s">
        <v>34</v>
      </c>
      <c r="E36" s="12" t="str">
        <f t="shared" si="0"/>
        <v>15-01-02</v>
      </c>
      <c r="F36" s="2" t="s">
        <v>39</v>
      </c>
      <c r="G36" s="2" t="s">
        <v>24</v>
      </c>
      <c r="H36" s="2"/>
      <c r="I36" s="2">
        <v>1</v>
      </c>
      <c r="J36" s="2" t="s">
        <v>78</v>
      </c>
      <c r="K36" s="2"/>
      <c r="L36" s="2" t="s">
        <v>21</v>
      </c>
    </row>
    <row r="37" spans="2:12" ht="30.75" thickBot="1" x14ac:dyDescent="0.3">
      <c r="B37" s="1">
        <v>30</v>
      </c>
      <c r="C37" s="13"/>
      <c r="D37" s="2" t="s">
        <v>79</v>
      </c>
      <c r="E37" s="12" t="str">
        <f t="shared" si="0"/>
        <v>17-04-05</v>
      </c>
      <c r="F37" s="2" t="s">
        <v>80</v>
      </c>
      <c r="G37" s="2" t="s">
        <v>81</v>
      </c>
      <c r="H37" s="2"/>
      <c r="I37" s="2">
        <v>4</v>
      </c>
      <c r="J37" s="2"/>
      <c r="K37" s="2"/>
      <c r="L37" s="2" t="s">
        <v>26</v>
      </c>
    </row>
    <row r="38" spans="2:12" ht="30.75" thickBot="1" x14ac:dyDescent="0.3">
      <c r="B38" s="1">
        <v>31</v>
      </c>
      <c r="C38" s="13"/>
      <c r="D38" s="2" t="s">
        <v>22</v>
      </c>
      <c r="E38" s="12" t="str">
        <f t="shared" si="0"/>
        <v>17-02-03</v>
      </c>
      <c r="F38" s="2" t="s">
        <v>82</v>
      </c>
      <c r="G38" s="2" t="s">
        <v>81</v>
      </c>
      <c r="H38" s="2"/>
      <c r="I38" s="2">
        <v>2</v>
      </c>
      <c r="J38" s="2"/>
      <c r="K38" s="2"/>
      <c r="L38" s="2" t="s">
        <v>26</v>
      </c>
    </row>
    <row r="39" spans="2:12" ht="15.75" thickBot="1" x14ac:dyDescent="0.3">
      <c r="B39" s="1">
        <v>32</v>
      </c>
      <c r="C39" s="13"/>
      <c r="D39" s="2" t="s">
        <v>27</v>
      </c>
      <c r="E39" s="12">
        <f t="shared" si="0"/>
        <v>0</v>
      </c>
      <c r="F39" s="2" t="s">
        <v>28</v>
      </c>
      <c r="G39" s="2"/>
      <c r="H39" s="2"/>
      <c r="I39" s="2">
        <v>2</v>
      </c>
      <c r="J39" s="2" t="s">
        <v>29</v>
      </c>
      <c r="K39" s="2"/>
      <c r="L39" s="2" t="s">
        <v>30</v>
      </c>
    </row>
    <row r="40" spans="2:12" ht="15.75" thickBot="1" x14ac:dyDescent="0.3">
      <c r="B40" s="1">
        <v>33</v>
      </c>
      <c r="C40" s="13"/>
      <c r="D40" s="2" t="s">
        <v>34</v>
      </c>
      <c r="E40" s="12" t="str">
        <f t="shared" ref="E40:E68" si="1">IF(ISNA(VLOOKUP(D40,TYW,2,FALSE)),"",VLOOKUP(D40,TYW,2,FALSE))</f>
        <v>15-01-02</v>
      </c>
      <c r="F40" s="2" t="s">
        <v>83</v>
      </c>
      <c r="G40" s="2" t="s">
        <v>52</v>
      </c>
      <c r="H40" s="2"/>
      <c r="I40" s="2">
        <v>1</v>
      </c>
      <c r="J40" s="2" t="s">
        <v>84</v>
      </c>
      <c r="K40" s="2"/>
      <c r="L40" s="2" t="s">
        <v>26</v>
      </c>
    </row>
    <row r="41" spans="2:12" ht="30.75" thickBot="1" x14ac:dyDescent="0.3">
      <c r="B41" s="1">
        <v>34</v>
      </c>
      <c r="C41" s="2"/>
      <c r="D41" s="2" t="s">
        <v>17</v>
      </c>
      <c r="E41" s="12" t="str">
        <f t="shared" si="1"/>
        <v>17-06-04</v>
      </c>
      <c r="F41" s="2" t="s">
        <v>18</v>
      </c>
      <c r="G41" s="2" t="s">
        <v>81</v>
      </c>
      <c r="H41" s="2"/>
      <c r="I41" s="2">
        <v>3</v>
      </c>
      <c r="J41" s="2" t="s">
        <v>85</v>
      </c>
      <c r="K41" s="2"/>
      <c r="L41" s="2" t="s">
        <v>21</v>
      </c>
    </row>
    <row r="42" spans="2:12" ht="15.75" thickBot="1" x14ac:dyDescent="0.3">
      <c r="B42" s="1">
        <v>35</v>
      </c>
      <c r="C42" s="2"/>
      <c r="D42" s="2" t="s">
        <v>34</v>
      </c>
      <c r="E42" s="12" t="str">
        <f t="shared" si="1"/>
        <v>15-01-02</v>
      </c>
      <c r="F42" s="2" t="s">
        <v>86</v>
      </c>
      <c r="G42" s="2" t="s">
        <v>24</v>
      </c>
      <c r="H42" s="2"/>
      <c r="I42" s="2">
        <v>8</v>
      </c>
      <c r="J42" s="2"/>
      <c r="K42" s="2"/>
      <c r="L42" s="2" t="s">
        <v>26</v>
      </c>
    </row>
    <row r="43" spans="2:12" ht="15.75" thickBot="1" x14ac:dyDescent="0.3">
      <c r="B43" s="1">
        <v>36</v>
      </c>
      <c r="C43" s="2"/>
      <c r="D43" s="2" t="s">
        <v>46</v>
      </c>
      <c r="E43" s="12" t="str">
        <f t="shared" si="1"/>
        <v>17-02-04</v>
      </c>
      <c r="F43" s="2" t="s">
        <v>179</v>
      </c>
      <c r="G43" s="2" t="s">
        <v>19</v>
      </c>
      <c r="H43" s="2"/>
      <c r="I43" s="2">
        <v>2</v>
      </c>
      <c r="J43" s="2" t="s">
        <v>87</v>
      </c>
      <c r="K43" s="2"/>
      <c r="L43" s="2" t="s">
        <v>26</v>
      </c>
    </row>
    <row r="44" spans="2:12" ht="15.75" thickBot="1" x14ac:dyDescent="0.3">
      <c r="B44" s="1">
        <v>37</v>
      </c>
      <c r="C44" s="2"/>
      <c r="D44" s="2" t="s">
        <v>31</v>
      </c>
      <c r="E44" s="12" t="str">
        <f t="shared" si="1"/>
        <v>17-02-01</v>
      </c>
      <c r="F44" s="2" t="s">
        <v>32</v>
      </c>
      <c r="G44" s="2" t="s">
        <v>19</v>
      </c>
      <c r="H44" s="2"/>
      <c r="I44" s="2">
        <v>3</v>
      </c>
      <c r="J44" s="2" t="s">
        <v>88</v>
      </c>
      <c r="K44" s="2"/>
      <c r="L44" s="2" t="s">
        <v>26</v>
      </c>
    </row>
    <row r="45" spans="2:12" ht="15.75" thickBot="1" x14ac:dyDescent="0.3">
      <c r="B45" s="1">
        <v>38</v>
      </c>
      <c r="C45" s="2"/>
      <c r="D45" s="2" t="s">
        <v>22</v>
      </c>
      <c r="E45" s="12" t="str">
        <f t="shared" si="1"/>
        <v>17-02-03</v>
      </c>
      <c r="F45" s="2" t="s">
        <v>89</v>
      </c>
      <c r="G45" s="2" t="s">
        <v>24</v>
      </c>
      <c r="H45" s="2"/>
      <c r="I45" s="2">
        <v>1</v>
      </c>
      <c r="J45" s="2"/>
      <c r="K45" s="2"/>
      <c r="L45" s="2" t="s">
        <v>21</v>
      </c>
    </row>
    <row r="46" spans="2:12" ht="15.75" thickBot="1" x14ac:dyDescent="0.3">
      <c r="B46" s="1">
        <v>39</v>
      </c>
      <c r="C46" s="2"/>
      <c r="D46" s="2" t="s">
        <v>34</v>
      </c>
      <c r="E46" s="12" t="str">
        <f t="shared" si="1"/>
        <v>15-01-02</v>
      </c>
      <c r="F46" s="2" t="s">
        <v>90</v>
      </c>
      <c r="G46" s="2" t="s">
        <v>24</v>
      </c>
      <c r="H46" s="2"/>
      <c r="I46" s="2">
        <v>15</v>
      </c>
      <c r="J46" s="2"/>
      <c r="K46" s="2"/>
      <c r="L46" s="2" t="s">
        <v>21</v>
      </c>
    </row>
    <row r="47" spans="2:12" ht="15.75" thickBot="1" x14ac:dyDescent="0.3">
      <c r="B47" s="1">
        <v>40</v>
      </c>
      <c r="C47" s="2"/>
      <c r="D47" s="2" t="s">
        <v>22</v>
      </c>
      <c r="E47" s="12" t="str">
        <f t="shared" si="1"/>
        <v>17-02-03</v>
      </c>
      <c r="F47" s="2" t="s">
        <v>91</v>
      </c>
      <c r="G47" s="2" t="s">
        <v>19</v>
      </c>
      <c r="H47" s="2"/>
      <c r="I47" s="2">
        <v>1</v>
      </c>
      <c r="J47" s="2" t="s">
        <v>92</v>
      </c>
      <c r="K47" s="2"/>
      <c r="L47" s="2" t="s">
        <v>26</v>
      </c>
    </row>
    <row r="48" spans="2:12" ht="15.75" thickBot="1" x14ac:dyDescent="0.3">
      <c r="B48" s="1">
        <v>41</v>
      </c>
      <c r="C48" s="2"/>
      <c r="D48" s="2" t="s">
        <v>17</v>
      </c>
      <c r="E48" s="12" t="str">
        <f t="shared" si="1"/>
        <v>17-06-04</v>
      </c>
      <c r="F48" s="2" t="s">
        <v>93</v>
      </c>
      <c r="G48" s="2" t="s">
        <v>19</v>
      </c>
      <c r="H48" s="2"/>
      <c r="I48" s="2">
        <v>1</v>
      </c>
      <c r="J48" s="2" t="s">
        <v>94</v>
      </c>
      <c r="K48" s="2"/>
      <c r="L48" s="2" t="s">
        <v>21</v>
      </c>
    </row>
    <row r="49" spans="2:12" ht="15.75" thickBot="1" x14ac:dyDescent="0.3">
      <c r="B49" s="1">
        <v>42</v>
      </c>
      <c r="C49" s="2"/>
      <c r="D49" s="2" t="s">
        <v>76</v>
      </c>
      <c r="E49" s="12" t="str">
        <f t="shared" si="1"/>
        <v>17-01-01</v>
      </c>
      <c r="F49" s="2" t="s">
        <v>95</v>
      </c>
      <c r="G49" s="2" t="s">
        <v>19</v>
      </c>
      <c r="H49" s="2"/>
      <c r="I49" s="2"/>
      <c r="J49" s="2" t="s">
        <v>96</v>
      </c>
      <c r="K49" s="2"/>
      <c r="L49" s="2" t="s">
        <v>21</v>
      </c>
    </row>
    <row r="50" spans="2:12" ht="15.75" thickBot="1" x14ac:dyDescent="0.3">
      <c r="B50" s="1">
        <v>43</v>
      </c>
      <c r="C50" s="13"/>
      <c r="D50" s="2" t="s">
        <v>46</v>
      </c>
      <c r="E50" s="12" t="str">
        <f t="shared" si="1"/>
        <v>17-02-04</v>
      </c>
      <c r="F50" s="2" t="s">
        <v>97</v>
      </c>
      <c r="G50" s="2" t="s">
        <v>19</v>
      </c>
      <c r="H50" s="2"/>
      <c r="I50" s="2">
        <v>1</v>
      </c>
      <c r="J50" s="2" t="s">
        <v>98</v>
      </c>
      <c r="K50" s="2"/>
      <c r="L50" s="2" t="s">
        <v>30</v>
      </c>
    </row>
    <row r="51" spans="2:12" x14ac:dyDescent="0.25">
      <c r="B51" s="1">
        <v>44</v>
      </c>
      <c r="C51" s="13"/>
      <c r="D51" s="2" t="s">
        <v>34</v>
      </c>
      <c r="E51" s="12" t="str">
        <f t="shared" si="1"/>
        <v>15-01-02</v>
      </c>
      <c r="F51" s="2" t="s">
        <v>99</v>
      </c>
      <c r="G51" s="2" t="s">
        <v>24</v>
      </c>
      <c r="H51" s="2"/>
      <c r="I51" s="2">
        <v>3</v>
      </c>
      <c r="J51" s="2" t="s">
        <v>100</v>
      </c>
      <c r="K51" s="2"/>
      <c r="L51" s="2" t="s">
        <v>21</v>
      </c>
    </row>
    <row r="52" spans="2:12" x14ac:dyDescent="0.25">
      <c r="B52" s="1">
        <v>45</v>
      </c>
      <c r="C52" s="13"/>
      <c r="D52" s="2" t="s">
        <v>43</v>
      </c>
      <c r="E52" s="12" t="str">
        <f t="shared" si="1"/>
        <v>15-01-01</v>
      </c>
      <c r="F52" s="2" t="s">
        <v>101</v>
      </c>
      <c r="G52" s="2" t="s">
        <v>24</v>
      </c>
      <c r="H52" s="2"/>
      <c r="I52" s="2">
        <v>4</v>
      </c>
      <c r="J52" s="2" t="s">
        <v>102</v>
      </c>
      <c r="K52" s="2"/>
      <c r="L52" s="2" t="s">
        <v>26</v>
      </c>
    </row>
    <row r="53" spans="2:12" x14ac:dyDescent="0.25">
      <c r="B53" s="1">
        <v>46</v>
      </c>
      <c r="C53" s="13"/>
      <c r="D53" s="2" t="s">
        <v>103</v>
      </c>
      <c r="E53" s="12" t="str">
        <f t="shared" si="1"/>
        <v>17-04-10</v>
      </c>
      <c r="F53" s="2" t="s">
        <v>104</v>
      </c>
      <c r="G53" s="2" t="s">
        <v>19</v>
      </c>
      <c r="H53" s="2"/>
      <c r="I53" s="2">
        <v>10</v>
      </c>
      <c r="J53" s="2" t="s">
        <v>105</v>
      </c>
      <c r="K53" s="2"/>
      <c r="L53" s="2" t="s">
        <v>30</v>
      </c>
    </row>
    <row r="54" spans="2:12" x14ac:dyDescent="0.25">
      <c r="B54" s="1">
        <v>47</v>
      </c>
      <c r="C54" s="13"/>
      <c r="D54" s="2" t="s">
        <v>17</v>
      </c>
      <c r="E54" s="12" t="str">
        <f t="shared" si="1"/>
        <v>17-06-04</v>
      </c>
      <c r="F54" s="14" t="s">
        <v>93</v>
      </c>
      <c r="G54" s="2" t="s">
        <v>19</v>
      </c>
      <c r="H54" s="2"/>
      <c r="I54" s="2">
        <v>1</v>
      </c>
      <c r="J54" s="2" t="s">
        <v>106</v>
      </c>
      <c r="K54" s="2"/>
      <c r="L54" s="2" t="s">
        <v>21</v>
      </c>
    </row>
    <row r="55" spans="2:12" x14ac:dyDescent="0.25">
      <c r="B55" s="1">
        <v>48</v>
      </c>
      <c r="C55" s="13"/>
      <c r="D55" s="2" t="s">
        <v>34</v>
      </c>
      <c r="E55" s="12" t="str">
        <f t="shared" si="1"/>
        <v>15-01-02</v>
      </c>
      <c r="F55" s="2" t="s">
        <v>37</v>
      </c>
      <c r="G55" s="2" t="s">
        <v>24</v>
      </c>
      <c r="H55" s="2"/>
      <c r="I55" s="2">
        <v>1</v>
      </c>
      <c r="J55" s="2"/>
      <c r="K55" s="2"/>
      <c r="L55" s="2" t="s">
        <v>21</v>
      </c>
    </row>
    <row r="56" spans="2:12" x14ac:dyDescent="0.25">
      <c r="B56" s="1">
        <v>49</v>
      </c>
      <c r="C56" s="13"/>
      <c r="D56" s="2" t="s">
        <v>31</v>
      </c>
      <c r="E56" s="12" t="str">
        <f t="shared" si="1"/>
        <v>17-02-01</v>
      </c>
      <c r="F56" s="2" t="s">
        <v>32</v>
      </c>
      <c r="G56" s="2" t="s">
        <v>19</v>
      </c>
      <c r="H56" s="2"/>
      <c r="I56" s="2">
        <v>3</v>
      </c>
      <c r="J56" s="2" t="s">
        <v>107</v>
      </c>
      <c r="K56" s="2"/>
      <c r="L56" s="2" t="s">
        <v>26</v>
      </c>
    </row>
    <row r="57" spans="2:12" x14ac:dyDescent="0.25">
      <c r="B57" s="1">
        <v>50</v>
      </c>
      <c r="C57" s="13"/>
      <c r="D57" s="2" t="s">
        <v>17</v>
      </c>
      <c r="E57" s="12" t="str">
        <f t="shared" si="1"/>
        <v>17-06-04</v>
      </c>
      <c r="F57" s="2" t="s">
        <v>18</v>
      </c>
      <c r="G57" s="2" t="s">
        <v>19</v>
      </c>
      <c r="H57" s="2"/>
      <c r="I57" s="2">
        <v>1</v>
      </c>
      <c r="J57" s="2" t="s">
        <v>108</v>
      </c>
      <c r="K57" s="2"/>
      <c r="L57" s="2" t="s">
        <v>21</v>
      </c>
    </row>
    <row r="58" spans="2:12" x14ac:dyDescent="0.25">
      <c r="B58" s="1">
        <v>51</v>
      </c>
      <c r="C58" s="13"/>
      <c r="D58" s="2" t="s">
        <v>27</v>
      </c>
      <c r="E58" s="12">
        <f t="shared" si="1"/>
        <v>0</v>
      </c>
      <c r="F58" s="2" t="s">
        <v>109</v>
      </c>
      <c r="G58" s="2" t="s">
        <v>19</v>
      </c>
      <c r="H58" s="2"/>
      <c r="I58" s="2">
        <v>1</v>
      </c>
      <c r="J58" s="2" t="s">
        <v>110</v>
      </c>
      <c r="K58" s="2"/>
      <c r="L58" s="2" t="s">
        <v>49</v>
      </c>
    </row>
    <row r="59" spans="2:12" x14ac:dyDescent="0.25">
      <c r="B59" s="1">
        <v>52</v>
      </c>
      <c r="C59" s="13"/>
      <c r="D59" s="2" t="s">
        <v>43</v>
      </c>
      <c r="E59" s="12" t="str">
        <f t="shared" si="1"/>
        <v>15-01-01</v>
      </c>
      <c r="F59" s="2" t="s">
        <v>44</v>
      </c>
      <c r="G59" s="2" t="s">
        <v>24</v>
      </c>
      <c r="H59" s="2"/>
      <c r="I59" s="2">
        <v>1</v>
      </c>
      <c r="J59" s="2" t="s">
        <v>111</v>
      </c>
      <c r="K59" s="2"/>
      <c r="L59" s="2" t="s">
        <v>26</v>
      </c>
    </row>
    <row r="60" spans="2:12" x14ac:dyDescent="0.25">
      <c r="B60" s="1">
        <v>53</v>
      </c>
      <c r="C60" s="13"/>
      <c r="D60" s="2" t="s">
        <v>27</v>
      </c>
      <c r="E60" s="12">
        <f t="shared" si="1"/>
        <v>0</v>
      </c>
      <c r="F60" s="2" t="s">
        <v>28</v>
      </c>
      <c r="G60" s="2"/>
      <c r="H60" s="2"/>
      <c r="I60" s="2"/>
      <c r="J60" s="2" t="s">
        <v>29</v>
      </c>
      <c r="K60" s="2"/>
      <c r="L60" s="2" t="s">
        <v>30</v>
      </c>
    </row>
    <row r="61" spans="2:12" x14ac:dyDescent="0.25">
      <c r="B61" s="1">
        <v>54</v>
      </c>
      <c r="C61" s="13"/>
      <c r="D61" s="2" t="s">
        <v>22</v>
      </c>
      <c r="E61" s="12" t="str">
        <f t="shared" si="1"/>
        <v>17-02-03</v>
      </c>
      <c r="F61" s="2" t="s">
        <v>112</v>
      </c>
      <c r="G61" s="2" t="s">
        <v>63</v>
      </c>
      <c r="H61" s="2"/>
      <c r="I61" s="2">
        <v>2</v>
      </c>
      <c r="J61" s="2" t="s">
        <v>113</v>
      </c>
      <c r="K61" s="2"/>
      <c r="L61" s="2" t="s">
        <v>64</v>
      </c>
    </row>
    <row r="62" spans="2:12" ht="15.75" thickBot="1" x14ac:dyDescent="0.3">
      <c r="B62" s="1">
        <v>55</v>
      </c>
      <c r="C62" s="2"/>
      <c r="D62" s="2"/>
      <c r="E62" s="12" t="str">
        <f t="shared" si="1"/>
        <v/>
      </c>
      <c r="F62" s="2"/>
      <c r="G62" s="2"/>
      <c r="H62" s="2"/>
      <c r="I62" s="2"/>
      <c r="J62" s="2"/>
      <c r="K62" s="2"/>
      <c r="L62" s="2"/>
    </row>
    <row r="63" spans="2:12" ht="15.75" thickBot="1" x14ac:dyDescent="0.3">
      <c r="B63" s="1">
        <v>56</v>
      </c>
      <c r="C63" s="2"/>
      <c r="D63" s="2"/>
      <c r="E63" s="12" t="str">
        <f t="shared" si="1"/>
        <v/>
      </c>
      <c r="F63" s="2"/>
      <c r="G63" s="2"/>
      <c r="H63" s="2"/>
      <c r="I63" s="2"/>
      <c r="J63" s="2"/>
      <c r="K63" s="2"/>
      <c r="L63" s="2"/>
    </row>
    <row r="64" spans="2:12" ht="15.75" thickBot="1" x14ac:dyDescent="0.3">
      <c r="B64" s="1">
        <v>57</v>
      </c>
      <c r="C64" s="2"/>
      <c r="D64" s="2"/>
      <c r="E64" s="12" t="str">
        <f t="shared" si="1"/>
        <v/>
      </c>
      <c r="F64" s="2"/>
      <c r="G64" s="2"/>
      <c r="H64" s="2"/>
      <c r="I64" s="2"/>
      <c r="J64" s="2"/>
      <c r="K64" s="2"/>
      <c r="L64" s="2"/>
    </row>
    <row r="65" spans="2:12" ht="15.75" thickBot="1" x14ac:dyDescent="0.3">
      <c r="B65" s="1">
        <v>58</v>
      </c>
      <c r="C65" s="2"/>
      <c r="D65" s="2"/>
      <c r="E65" s="12" t="str">
        <f t="shared" si="1"/>
        <v/>
      </c>
      <c r="F65" s="2"/>
      <c r="G65" s="2"/>
      <c r="H65" s="2"/>
      <c r="I65" s="2"/>
      <c r="J65" s="2"/>
      <c r="K65" s="2"/>
      <c r="L65" s="2"/>
    </row>
    <row r="66" spans="2:12" ht="15.75" thickBot="1" x14ac:dyDescent="0.3">
      <c r="B66" s="1">
        <v>59</v>
      </c>
      <c r="C66" s="2"/>
      <c r="D66" s="2"/>
      <c r="E66" s="12" t="str">
        <f t="shared" si="1"/>
        <v/>
      </c>
      <c r="F66" s="2"/>
      <c r="G66" s="2"/>
      <c r="H66" s="2"/>
      <c r="I66" s="2"/>
      <c r="J66" s="2"/>
      <c r="K66" s="2"/>
      <c r="L66" s="2"/>
    </row>
    <row r="67" spans="2:12" ht="15.75" thickBot="1" x14ac:dyDescent="0.3">
      <c r="B67" s="1">
        <v>60</v>
      </c>
      <c r="C67" s="2"/>
      <c r="D67" s="2"/>
      <c r="E67" s="12" t="str">
        <f t="shared" si="1"/>
        <v/>
      </c>
      <c r="F67" s="2"/>
      <c r="G67" s="2"/>
      <c r="H67" s="2"/>
      <c r="I67" s="2"/>
      <c r="J67" s="2"/>
      <c r="K67" s="2"/>
      <c r="L67" s="2"/>
    </row>
    <row r="68" spans="2:12" ht="15.75" thickBot="1" x14ac:dyDescent="0.3">
      <c r="B68" s="1">
        <v>61</v>
      </c>
      <c r="C68" s="2"/>
      <c r="D68" s="2"/>
      <c r="E68" s="12" t="str">
        <f t="shared" si="1"/>
        <v/>
      </c>
      <c r="F68" s="2"/>
      <c r="G68" s="2"/>
      <c r="H68" s="2"/>
      <c r="I68" s="2"/>
      <c r="J68" s="2"/>
      <c r="K68" s="2"/>
      <c r="L68" s="2"/>
    </row>
    <row r="69" spans="2:12" ht="15.75" thickBot="1" x14ac:dyDescent="0.3">
      <c r="B69" s="1">
        <v>62</v>
      </c>
      <c r="C69" s="2"/>
      <c r="D69" s="2"/>
      <c r="E69" s="12" t="str">
        <f t="shared" ref="E69:E84" si="2">IF(ISNA(VLOOKUP(D69,TYW,2,FALSE)),"",VLOOKUP(D69,TYW,2,FALSE))</f>
        <v/>
      </c>
      <c r="F69" s="2"/>
      <c r="G69" s="2"/>
      <c r="H69" s="2"/>
      <c r="I69" s="2"/>
      <c r="J69" s="2"/>
      <c r="K69" s="2"/>
      <c r="L69" s="2"/>
    </row>
    <row r="70" spans="2:12" ht="15.75" thickBot="1" x14ac:dyDescent="0.3">
      <c r="B70" s="1">
        <v>63</v>
      </c>
      <c r="C70" s="2"/>
      <c r="D70" s="2"/>
      <c r="E70" s="12" t="str">
        <f t="shared" si="2"/>
        <v/>
      </c>
      <c r="F70" s="2"/>
      <c r="G70" s="2"/>
      <c r="H70" s="2"/>
      <c r="I70" s="2"/>
      <c r="J70" s="2"/>
      <c r="K70" s="2"/>
      <c r="L70" s="2"/>
    </row>
    <row r="71" spans="2:12" ht="15.75" thickBot="1" x14ac:dyDescent="0.3">
      <c r="B71" s="1">
        <v>64</v>
      </c>
      <c r="C71" s="2"/>
      <c r="D71" s="2"/>
      <c r="E71" s="12" t="str">
        <f t="shared" si="2"/>
        <v/>
      </c>
      <c r="F71" s="2"/>
      <c r="G71" s="2"/>
      <c r="H71" s="2"/>
      <c r="I71" s="2"/>
      <c r="J71" s="2"/>
      <c r="K71" s="2"/>
      <c r="L71" s="2"/>
    </row>
    <row r="72" spans="2:12" ht="15.75" thickBot="1" x14ac:dyDescent="0.3">
      <c r="B72" s="1">
        <v>65</v>
      </c>
      <c r="C72" s="2"/>
      <c r="D72" s="2"/>
      <c r="E72" s="12" t="str">
        <f t="shared" si="2"/>
        <v/>
      </c>
      <c r="F72" s="2"/>
      <c r="G72" s="2"/>
      <c r="H72" s="2"/>
      <c r="I72" s="2"/>
      <c r="J72" s="2"/>
      <c r="K72" s="2"/>
      <c r="L72" s="2"/>
    </row>
    <row r="73" spans="2:12" ht="15.75" thickBot="1" x14ac:dyDescent="0.3">
      <c r="B73" s="1">
        <v>66</v>
      </c>
      <c r="C73" s="2"/>
      <c r="D73" s="2"/>
      <c r="E73" s="12" t="str">
        <f t="shared" si="2"/>
        <v/>
      </c>
      <c r="F73" s="2"/>
      <c r="G73" s="2"/>
      <c r="H73" s="2"/>
      <c r="I73" s="2"/>
      <c r="J73" s="2"/>
      <c r="K73" s="2"/>
      <c r="L73" s="2"/>
    </row>
    <row r="74" spans="2:12" ht="15.75" thickBot="1" x14ac:dyDescent="0.3">
      <c r="B74" s="1">
        <v>67</v>
      </c>
      <c r="C74" s="2"/>
      <c r="D74" s="2"/>
      <c r="E74" s="12" t="str">
        <f t="shared" si="2"/>
        <v/>
      </c>
      <c r="F74" s="2"/>
      <c r="G74" s="2"/>
      <c r="H74" s="2"/>
      <c r="I74" s="2"/>
      <c r="J74" s="2"/>
      <c r="K74" s="2"/>
      <c r="L74" s="2"/>
    </row>
    <row r="75" spans="2:12" ht="15.75" thickBot="1" x14ac:dyDescent="0.3">
      <c r="B75" s="1">
        <v>68</v>
      </c>
      <c r="C75" s="2"/>
      <c r="D75" s="2"/>
      <c r="E75" s="12" t="str">
        <f t="shared" si="2"/>
        <v/>
      </c>
      <c r="F75" s="2"/>
      <c r="G75" s="2"/>
      <c r="H75" s="2"/>
      <c r="I75" s="2"/>
      <c r="J75" s="2"/>
      <c r="K75" s="2"/>
      <c r="L75" s="2"/>
    </row>
    <row r="76" spans="2:12" ht="15.75" thickBot="1" x14ac:dyDescent="0.3">
      <c r="B76" s="1">
        <v>69</v>
      </c>
      <c r="C76" s="2"/>
      <c r="D76" s="2"/>
      <c r="E76" s="12" t="str">
        <f t="shared" si="2"/>
        <v/>
      </c>
      <c r="F76" s="2"/>
      <c r="G76" s="2"/>
      <c r="H76" s="2"/>
      <c r="I76" s="2"/>
      <c r="J76" s="2"/>
      <c r="K76" s="2"/>
      <c r="L76" s="2"/>
    </row>
    <row r="77" spans="2:12" ht="15.75" thickBot="1" x14ac:dyDescent="0.3">
      <c r="B77" s="1">
        <v>70</v>
      </c>
      <c r="C77" s="2"/>
      <c r="D77" s="2"/>
      <c r="E77" s="12" t="str">
        <f t="shared" si="2"/>
        <v/>
      </c>
      <c r="F77" s="2"/>
      <c r="G77" s="2"/>
      <c r="H77" s="2"/>
      <c r="I77" s="2"/>
      <c r="J77" s="2"/>
      <c r="K77" s="2"/>
      <c r="L77" s="2"/>
    </row>
    <row r="78" spans="2:12" ht="15.75" thickBot="1" x14ac:dyDescent="0.3">
      <c r="B78" s="1">
        <v>71</v>
      </c>
      <c r="C78" s="2"/>
      <c r="D78" s="2"/>
      <c r="E78" s="12" t="str">
        <f t="shared" si="2"/>
        <v/>
      </c>
      <c r="F78" s="2"/>
      <c r="G78" s="2"/>
      <c r="H78" s="2"/>
      <c r="I78" s="2"/>
      <c r="J78" s="2"/>
      <c r="K78" s="2"/>
      <c r="L78" s="2"/>
    </row>
    <row r="79" spans="2:12" ht="15.75" thickBot="1" x14ac:dyDescent="0.3">
      <c r="B79" s="1">
        <v>72</v>
      </c>
      <c r="C79" s="2"/>
      <c r="D79" s="2"/>
      <c r="E79" s="12" t="str">
        <f t="shared" si="2"/>
        <v/>
      </c>
      <c r="F79" s="2"/>
      <c r="G79" s="2"/>
      <c r="H79" s="2"/>
      <c r="I79" s="2"/>
      <c r="J79" s="2"/>
      <c r="K79" s="2"/>
      <c r="L79" s="2"/>
    </row>
    <row r="80" spans="2:12" ht="15.75" thickBot="1" x14ac:dyDescent="0.3">
      <c r="B80" s="1">
        <v>73</v>
      </c>
      <c r="C80" s="2"/>
      <c r="D80" s="2"/>
      <c r="E80" s="12" t="str">
        <f t="shared" si="2"/>
        <v/>
      </c>
      <c r="F80" s="2"/>
      <c r="G80" s="2"/>
      <c r="H80" s="2"/>
      <c r="I80" s="2"/>
      <c r="J80" s="2"/>
      <c r="K80" s="2"/>
      <c r="L80" s="2"/>
    </row>
    <row r="81" spans="2:12" ht="15.75" thickBot="1" x14ac:dyDescent="0.3">
      <c r="B81" s="1">
        <v>74</v>
      </c>
      <c r="C81" s="2"/>
      <c r="D81" s="2"/>
      <c r="E81" s="12" t="str">
        <f t="shared" si="2"/>
        <v/>
      </c>
      <c r="F81" s="2"/>
      <c r="G81" s="2"/>
      <c r="H81" s="2"/>
      <c r="I81" s="2"/>
      <c r="J81" s="2"/>
      <c r="K81" s="2"/>
      <c r="L81" s="2"/>
    </row>
    <row r="82" spans="2:12" ht="15.75" thickBot="1" x14ac:dyDescent="0.3">
      <c r="B82" s="1">
        <v>75</v>
      </c>
      <c r="C82" s="2"/>
      <c r="D82" s="2"/>
      <c r="E82" s="12" t="str">
        <f t="shared" si="2"/>
        <v/>
      </c>
      <c r="F82" s="2"/>
      <c r="G82" s="2"/>
      <c r="H82" s="2"/>
      <c r="I82" s="2"/>
      <c r="J82" s="2"/>
      <c r="K82" s="2"/>
      <c r="L82" s="2"/>
    </row>
    <row r="83" spans="2:12" ht="15.75" thickBot="1" x14ac:dyDescent="0.3">
      <c r="B83" s="1">
        <v>76</v>
      </c>
      <c r="C83" s="2"/>
      <c r="D83" s="2"/>
      <c r="E83" s="12" t="str">
        <f t="shared" si="2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12" t="str">
        <f t="shared" si="2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12" t="str">
        <f t="shared" ref="E85:E116" si="3">IF(ISNA(VLOOKUP(D85,TYW,2,FALSE)),"",VLOOKUP(D85,TYW,2,FALSE))</f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12" t="str">
        <f t="shared" si="3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12" t="str">
        <f t="shared" si="3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12" t="str">
        <f t="shared" si="3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12" t="str">
        <f t="shared" si="3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12" t="str">
        <f t="shared" si="3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12" t="str">
        <f t="shared" si="3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12" t="str">
        <f t="shared" si="3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12" t="str">
        <f t="shared" si="3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12" t="str">
        <f t="shared" si="3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12" t="str">
        <f t="shared" si="3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12" t="str">
        <f t="shared" si="3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12" t="str">
        <f t="shared" si="3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12" t="str">
        <f t="shared" si="3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12" t="str">
        <f t="shared" si="3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12" t="str">
        <f t="shared" si="3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12" t="str">
        <f t="shared" si="3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12" t="str">
        <f t="shared" si="3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12" t="str">
        <f t="shared" si="3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12" t="str">
        <f t="shared" si="3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12" t="str">
        <f t="shared" si="3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12" t="str">
        <f t="shared" si="3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12" t="str">
        <f t="shared" si="3"/>
        <v/>
      </c>
      <c r="F107" s="2"/>
      <c r="G107" s="2"/>
      <c r="H107" s="2"/>
      <c r="I107" s="2"/>
      <c r="J107" s="2"/>
      <c r="K107" s="2"/>
      <c r="L107" s="2"/>
    </row>
    <row r="108" spans="2:12" ht="15.75" thickBot="1" x14ac:dyDescent="0.3">
      <c r="B108" s="1">
        <v>101</v>
      </c>
      <c r="C108" s="2"/>
      <c r="D108" s="2"/>
      <c r="E108" s="12" t="str">
        <f t="shared" si="3"/>
        <v/>
      </c>
      <c r="F108" s="2"/>
      <c r="G108" s="2"/>
      <c r="H108" s="2"/>
      <c r="I108" s="2"/>
      <c r="J108" s="2"/>
      <c r="K108" s="2"/>
      <c r="L108" s="2"/>
    </row>
    <row r="109" spans="2:12" ht="15.75" thickBot="1" x14ac:dyDescent="0.3">
      <c r="B109" s="1">
        <v>102</v>
      </c>
      <c r="C109" s="2"/>
      <c r="D109" s="2"/>
      <c r="E109" s="12" t="str">
        <f t="shared" si="3"/>
        <v/>
      </c>
      <c r="F109" s="2"/>
      <c r="G109" s="2"/>
      <c r="H109" s="2"/>
      <c r="I109" s="2"/>
      <c r="J109" s="2"/>
      <c r="K109" s="2"/>
      <c r="L109" s="2"/>
    </row>
    <row r="110" spans="2:12" ht="15.75" thickBot="1" x14ac:dyDescent="0.3">
      <c r="B110" s="1">
        <v>103</v>
      </c>
      <c r="C110" s="2"/>
      <c r="D110" s="2"/>
      <c r="E110" s="12" t="str">
        <f t="shared" si="3"/>
        <v/>
      </c>
      <c r="F110" s="2"/>
      <c r="G110" s="2"/>
      <c r="H110" s="2"/>
      <c r="I110" s="2"/>
      <c r="J110" s="2"/>
      <c r="K110" s="2"/>
      <c r="L110" s="2"/>
    </row>
    <row r="111" spans="2:12" ht="15.75" thickBot="1" x14ac:dyDescent="0.3">
      <c r="B111" s="1">
        <v>104</v>
      </c>
      <c r="C111" s="2"/>
      <c r="D111" s="2"/>
      <c r="E111" s="12" t="str">
        <f t="shared" si="3"/>
        <v/>
      </c>
      <c r="F111" s="2"/>
      <c r="G111" s="2"/>
      <c r="H111" s="2"/>
      <c r="I111" s="2"/>
      <c r="J111" s="2"/>
      <c r="K111" s="2"/>
      <c r="L111" s="2"/>
    </row>
    <row r="112" spans="2:12" ht="15.75" thickBot="1" x14ac:dyDescent="0.3">
      <c r="B112" s="1">
        <v>105</v>
      </c>
      <c r="C112" s="2"/>
      <c r="D112" s="2"/>
      <c r="E112" s="12" t="str">
        <f t="shared" si="3"/>
        <v/>
      </c>
      <c r="F112" s="2"/>
      <c r="G112" s="2"/>
      <c r="H112" s="2"/>
      <c r="I112" s="2"/>
      <c r="J112" s="2"/>
      <c r="K112" s="2"/>
      <c r="L112" s="2"/>
    </row>
    <row r="113" spans="2:12" ht="15.75" thickBot="1" x14ac:dyDescent="0.3">
      <c r="B113" s="1">
        <v>106</v>
      </c>
      <c r="C113" s="2"/>
      <c r="D113" s="2"/>
      <c r="E113" s="12" t="str">
        <f t="shared" si="3"/>
        <v/>
      </c>
      <c r="F113" s="2"/>
      <c r="G113" s="2"/>
      <c r="H113" s="2"/>
      <c r="I113" s="2"/>
      <c r="J113" s="2"/>
      <c r="K113" s="2"/>
      <c r="L113" s="2"/>
    </row>
    <row r="114" spans="2:12" ht="15.75" thickBot="1" x14ac:dyDescent="0.3">
      <c r="B114" s="1">
        <v>107</v>
      </c>
      <c r="C114" s="2"/>
      <c r="D114" s="2"/>
      <c r="E114" s="12" t="str">
        <f t="shared" si="3"/>
        <v/>
      </c>
      <c r="F114" s="2"/>
      <c r="G114" s="2"/>
      <c r="H114" s="2"/>
      <c r="I114" s="2"/>
      <c r="J114" s="2"/>
      <c r="K114" s="2"/>
      <c r="L114" s="2"/>
    </row>
    <row r="115" spans="2:12" ht="15.75" thickBot="1" x14ac:dyDescent="0.3">
      <c r="B115" s="1">
        <v>108</v>
      </c>
      <c r="C115" s="2"/>
      <c r="D115" s="2"/>
      <c r="E115" s="12" t="str">
        <f t="shared" si="3"/>
        <v/>
      </c>
      <c r="F115" s="2"/>
      <c r="G115" s="2"/>
      <c r="H115" s="2"/>
      <c r="I115" s="2"/>
      <c r="J115" s="2"/>
      <c r="K115" s="2"/>
      <c r="L115" s="2"/>
    </row>
    <row r="116" spans="2:12" ht="15.75" thickBot="1" x14ac:dyDescent="0.3">
      <c r="B116" s="1">
        <v>109</v>
      </c>
      <c r="C116" s="2"/>
      <c r="D116" s="2"/>
      <c r="E116" s="12" t="str">
        <f t="shared" si="3"/>
        <v/>
      </c>
      <c r="F116" s="2"/>
      <c r="G116" s="2"/>
      <c r="H116" s="2"/>
      <c r="I116" s="2"/>
      <c r="J116" s="2"/>
      <c r="K116" s="2"/>
      <c r="L116" s="2"/>
    </row>
    <row r="117" spans="2:12" ht="15.75" thickBot="1" x14ac:dyDescent="0.3">
      <c r="B117" s="1">
        <v>110</v>
      </c>
      <c r="C117" s="2"/>
      <c r="D117" s="2"/>
      <c r="E117" s="12" t="str">
        <f t="shared" ref="E117:E148" si="4">IF(ISNA(VLOOKUP(D117,TYW,2,FALSE)),"",VLOOKUP(D117,TYW,2,FALSE))</f>
        <v/>
      </c>
      <c r="F117" s="2"/>
      <c r="G117" s="2"/>
      <c r="H117" s="2"/>
      <c r="I117" s="2"/>
      <c r="J117" s="2"/>
      <c r="K117" s="2"/>
      <c r="L117" s="2"/>
    </row>
    <row r="118" spans="2:12" ht="15.75" thickBot="1" x14ac:dyDescent="0.3">
      <c r="B118" s="1">
        <v>111</v>
      </c>
      <c r="C118" s="2"/>
      <c r="D118" s="2"/>
      <c r="E118" s="12" t="str">
        <f t="shared" si="4"/>
        <v/>
      </c>
      <c r="F118" s="2"/>
      <c r="G118" s="2"/>
      <c r="H118" s="2"/>
      <c r="I118" s="2"/>
      <c r="J118" s="2"/>
      <c r="K118" s="2"/>
      <c r="L118" s="2"/>
    </row>
    <row r="119" spans="2:12" ht="15.75" thickBot="1" x14ac:dyDescent="0.3">
      <c r="B119" s="1">
        <v>112</v>
      </c>
      <c r="C119" s="2"/>
      <c r="D119" s="2"/>
      <c r="E119" s="12" t="str">
        <f t="shared" si="4"/>
        <v/>
      </c>
      <c r="F119" s="2"/>
      <c r="G119" s="2"/>
      <c r="H119" s="2"/>
      <c r="I119" s="2"/>
      <c r="J119" s="2"/>
      <c r="K119" s="2"/>
      <c r="L119" s="2"/>
    </row>
    <row r="120" spans="2:12" ht="15.75" thickBot="1" x14ac:dyDescent="0.3">
      <c r="B120" s="1">
        <v>113</v>
      </c>
      <c r="C120" s="2"/>
      <c r="D120" s="2"/>
      <c r="E120" s="12" t="str">
        <f t="shared" si="4"/>
        <v/>
      </c>
      <c r="F120" s="2"/>
      <c r="G120" s="2"/>
      <c r="H120" s="2"/>
      <c r="I120" s="2"/>
      <c r="J120" s="2"/>
      <c r="K120" s="2"/>
      <c r="L120" s="2"/>
    </row>
    <row r="121" spans="2:12" ht="15.75" thickBot="1" x14ac:dyDescent="0.3">
      <c r="B121" s="1">
        <v>114</v>
      </c>
      <c r="C121" s="2"/>
      <c r="D121" s="2"/>
      <c r="E121" s="12" t="str">
        <f t="shared" si="4"/>
        <v/>
      </c>
      <c r="F121" s="2"/>
      <c r="G121" s="2"/>
      <c r="H121" s="2"/>
      <c r="I121" s="2"/>
      <c r="J121" s="2"/>
      <c r="K121" s="2"/>
      <c r="L121" s="2"/>
    </row>
    <row r="122" spans="2:12" ht="15.75" thickBot="1" x14ac:dyDescent="0.3">
      <c r="B122" s="1">
        <v>115</v>
      </c>
      <c r="C122" s="2"/>
      <c r="D122" s="2"/>
      <c r="E122" s="12" t="str">
        <f t="shared" si="4"/>
        <v/>
      </c>
      <c r="F122" s="2"/>
      <c r="G122" s="2"/>
      <c r="H122" s="2"/>
      <c r="I122" s="2"/>
      <c r="J122" s="2"/>
      <c r="K122" s="2"/>
      <c r="L122" s="2"/>
    </row>
    <row r="123" spans="2:12" ht="15.75" thickBot="1" x14ac:dyDescent="0.3">
      <c r="B123" s="1">
        <v>116</v>
      </c>
      <c r="C123" s="2"/>
      <c r="D123" s="2"/>
      <c r="E123" s="12" t="str">
        <f t="shared" si="4"/>
        <v/>
      </c>
      <c r="F123" s="2"/>
      <c r="G123" s="2"/>
      <c r="H123" s="2"/>
      <c r="I123" s="2"/>
      <c r="J123" s="2"/>
      <c r="K123" s="2"/>
      <c r="L123" s="2"/>
    </row>
    <row r="124" spans="2:12" ht="15.75" thickBot="1" x14ac:dyDescent="0.3">
      <c r="B124" s="1">
        <v>117</v>
      </c>
      <c r="C124" s="2"/>
      <c r="D124" s="2"/>
      <c r="E124" s="12" t="str">
        <f t="shared" si="4"/>
        <v/>
      </c>
      <c r="F124" s="2"/>
      <c r="G124" s="2"/>
      <c r="H124" s="2"/>
      <c r="I124" s="2"/>
      <c r="J124" s="2"/>
      <c r="K124" s="2"/>
      <c r="L124" s="2"/>
    </row>
    <row r="125" spans="2:12" ht="15.75" thickBot="1" x14ac:dyDescent="0.3">
      <c r="B125" s="1">
        <v>118</v>
      </c>
      <c r="C125" s="2"/>
      <c r="D125" s="2"/>
      <c r="E125" s="12" t="str">
        <f t="shared" si="4"/>
        <v/>
      </c>
      <c r="F125" s="2"/>
      <c r="G125" s="2"/>
      <c r="H125" s="2"/>
      <c r="I125" s="2"/>
      <c r="J125" s="2"/>
      <c r="K125" s="2"/>
      <c r="L125" s="2"/>
    </row>
    <row r="126" spans="2:12" ht="15.75" thickBot="1" x14ac:dyDescent="0.3">
      <c r="B126" s="1">
        <v>119</v>
      </c>
      <c r="C126" s="2"/>
      <c r="D126" s="2"/>
      <c r="E126" s="12" t="str">
        <f t="shared" si="4"/>
        <v/>
      </c>
      <c r="F126" s="2"/>
      <c r="G126" s="2"/>
      <c r="H126" s="2"/>
      <c r="I126" s="2"/>
      <c r="J126" s="2"/>
      <c r="K126" s="2"/>
      <c r="L126" s="2"/>
    </row>
    <row r="127" spans="2:12" ht="15.75" thickBot="1" x14ac:dyDescent="0.3">
      <c r="B127" s="1">
        <v>120</v>
      </c>
      <c r="C127" s="2"/>
      <c r="D127" s="2"/>
      <c r="E127" s="12" t="str">
        <f t="shared" si="4"/>
        <v/>
      </c>
      <c r="F127" s="2"/>
      <c r="G127" s="2"/>
      <c r="H127" s="2"/>
      <c r="I127" s="2"/>
      <c r="J127" s="2"/>
      <c r="K127" s="2"/>
      <c r="L127" s="2"/>
    </row>
    <row r="128" spans="2:12" ht="15.75" thickBot="1" x14ac:dyDescent="0.3">
      <c r="B128" s="1">
        <v>121</v>
      </c>
      <c r="C128" s="2"/>
      <c r="D128" s="2"/>
      <c r="E128" s="12" t="str">
        <f t="shared" si="4"/>
        <v/>
      </c>
      <c r="F128" s="2"/>
      <c r="G128" s="2"/>
      <c r="H128" s="2"/>
      <c r="I128" s="2"/>
      <c r="J128" s="2"/>
      <c r="K128" s="2"/>
      <c r="L128" s="2"/>
    </row>
    <row r="129" spans="2:12" ht="15.75" thickBot="1" x14ac:dyDescent="0.3">
      <c r="B129" s="1">
        <v>122</v>
      </c>
      <c r="C129" s="2"/>
      <c r="D129" s="2"/>
      <c r="E129" s="12" t="str">
        <f t="shared" si="4"/>
        <v/>
      </c>
      <c r="F129" s="2"/>
      <c r="G129" s="2"/>
      <c r="H129" s="2"/>
      <c r="I129" s="2"/>
      <c r="J129" s="2"/>
      <c r="K129" s="2"/>
      <c r="L129" s="2"/>
    </row>
    <row r="130" spans="2:12" ht="15.75" thickBot="1" x14ac:dyDescent="0.3">
      <c r="B130" s="1">
        <v>123</v>
      </c>
      <c r="C130" s="2"/>
      <c r="D130" s="2"/>
      <c r="E130" s="12" t="str">
        <f t="shared" si="4"/>
        <v/>
      </c>
      <c r="F130" s="2"/>
      <c r="G130" s="2"/>
      <c r="H130" s="2"/>
      <c r="I130" s="2"/>
      <c r="J130" s="2"/>
      <c r="K130" s="2"/>
      <c r="L130" s="2"/>
    </row>
    <row r="131" spans="2:12" ht="15.75" thickBot="1" x14ac:dyDescent="0.3">
      <c r="B131" s="1">
        <v>124</v>
      </c>
      <c r="C131" s="2"/>
      <c r="D131" s="2"/>
      <c r="E131" s="12" t="str">
        <f t="shared" si="4"/>
        <v/>
      </c>
      <c r="F131" s="2"/>
      <c r="G131" s="2"/>
      <c r="H131" s="2"/>
      <c r="I131" s="2"/>
      <c r="J131" s="2"/>
      <c r="K131" s="2"/>
      <c r="L131" s="2"/>
    </row>
    <row r="132" spans="2:12" ht="15.75" thickBot="1" x14ac:dyDescent="0.3">
      <c r="B132" s="1">
        <v>125</v>
      </c>
      <c r="C132" s="2"/>
      <c r="D132" s="2"/>
      <c r="E132" s="12" t="str">
        <f t="shared" si="4"/>
        <v/>
      </c>
      <c r="F132" s="2"/>
      <c r="G132" s="2"/>
      <c r="H132" s="2"/>
      <c r="I132" s="2"/>
      <c r="J132" s="2"/>
      <c r="K132" s="2"/>
      <c r="L132" s="2"/>
    </row>
    <row r="133" spans="2:12" ht="15.75" thickBot="1" x14ac:dyDescent="0.3">
      <c r="B133" s="1">
        <v>126</v>
      </c>
      <c r="C133" s="2"/>
      <c r="D133" s="2"/>
      <c r="E133" s="12" t="str">
        <f t="shared" si="4"/>
        <v/>
      </c>
      <c r="F133" s="2"/>
      <c r="G133" s="2"/>
      <c r="H133" s="2"/>
      <c r="I133" s="2"/>
      <c r="J133" s="2"/>
      <c r="K133" s="2"/>
      <c r="L133" s="2"/>
    </row>
    <row r="134" spans="2:12" ht="15.75" thickBot="1" x14ac:dyDescent="0.3">
      <c r="B134" s="1">
        <v>127</v>
      </c>
      <c r="C134" s="2"/>
      <c r="D134" s="2"/>
      <c r="E134" s="12" t="str">
        <f t="shared" si="4"/>
        <v/>
      </c>
      <c r="F134" s="2"/>
      <c r="G134" s="2"/>
      <c r="H134" s="2"/>
      <c r="I134" s="2"/>
      <c r="J134" s="2"/>
      <c r="K134" s="2"/>
      <c r="L134" s="2"/>
    </row>
    <row r="135" spans="2:12" ht="15.75" thickBot="1" x14ac:dyDescent="0.3">
      <c r="B135" s="1">
        <v>128</v>
      </c>
      <c r="C135" s="2"/>
      <c r="D135" s="2"/>
      <c r="E135" s="12" t="str">
        <f t="shared" si="4"/>
        <v/>
      </c>
      <c r="F135" s="2"/>
      <c r="G135" s="2"/>
      <c r="H135" s="2"/>
      <c r="I135" s="2"/>
      <c r="J135" s="2"/>
      <c r="K135" s="2"/>
      <c r="L135" s="2"/>
    </row>
    <row r="136" spans="2:12" ht="15.75" thickBot="1" x14ac:dyDescent="0.3">
      <c r="B136" s="1">
        <v>129</v>
      </c>
      <c r="C136" s="2"/>
      <c r="D136" s="2"/>
      <c r="E136" s="12" t="str">
        <f t="shared" si="4"/>
        <v/>
      </c>
      <c r="F136" s="2"/>
      <c r="G136" s="2"/>
      <c r="H136" s="2"/>
      <c r="I136" s="2"/>
      <c r="J136" s="2"/>
      <c r="K136" s="2"/>
      <c r="L136" s="2"/>
    </row>
    <row r="137" spans="2:12" ht="15.75" thickBot="1" x14ac:dyDescent="0.3">
      <c r="B137" s="1">
        <v>130</v>
      </c>
      <c r="C137" s="2"/>
      <c r="D137" s="2"/>
      <c r="E137" s="12" t="str">
        <f t="shared" si="4"/>
        <v/>
      </c>
      <c r="F137" s="2"/>
      <c r="G137" s="2"/>
      <c r="H137" s="2"/>
      <c r="I137" s="2"/>
      <c r="J137" s="2"/>
      <c r="K137" s="2"/>
      <c r="L137" s="2"/>
    </row>
    <row r="138" spans="2:12" ht="15.75" thickBot="1" x14ac:dyDescent="0.3">
      <c r="B138" s="1">
        <v>131</v>
      </c>
      <c r="C138" s="2"/>
      <c r="D138" s="2"/>
      <c r="E138" s="12" t="str">
        <f t="shared" si="4"/>
        <v/>
      </c>
      <c r="F138" s="2"/>
      <c r="G138" s="2"/>
      <c r="H138" s="2"/>
      <c r="I138" s="2"/>
      <c r="J138" s="2"/>
      <c r="K138" s="2"/>
      <c r="L138" s="2"/>
    </row>
    <row r="139" spans="2:12" ht="15.75" thickBot="1" x14ac:dyDescent="0.3">
      <c r="B139" s="1">
        <v>132</v>
      </c>
      <c r="C139" s="2"/>
      <c r="D139" s="2"/>
      <c r="E139" s="12" t="str">
        <f t="shared" si="4"/>
        <v/>
      </c>
      <c r="F139" s="2"/>
      <c r="G139" s="2"/>
      <c r="H139" s="2"/>
      <c r="I139" s="2"/>
      <c r="J139" s="2"/>
      <c r="K139" s="2"/>
      <c r="L139" s="2"/>
    </row>
    <row r="140" spans="2:12" ht="15.75" thickBot="1" x14ac:dyDescent="0.3">
      <c r="B140" s="1">
        <v>133</v>
      </c>
      <c r="C140" s="2"/>
      <c r="D140" s="2"/>
      <c r="E140" s="12" t="str">
        <f t="shared" si="4"/>
        <v/>
      </c>
      <c r="F140" s="2"/>
      <c r="G140" s="2"/>
      <c r="H140" s="2"/>
      <c r="I140" s="2"/>
      <c r="J140" s="2"/>
      <c r="K140" s="2"/>
      <c r="L140" s="2"/>
    </row>
    <row r="141" spans="2:12" ht="15.75" thickBot="1" x14ac:dyDescent="0.3">
      <c r="B141" s="1">
        <v>134</v>
      </c>
      <c r="C141" s="2"/>
      <c r="D141" s="2"/>
      <c r="E141" s="12" t="str">
        <f t="shared" si="4"/>
        <v/>
      </c>
      <c r="F141" s="2"/>
      <c r="G141" s="2"/>
      <c r="H141" s="2"/>
      <c r="I141" s="2"/>
      <c r="J141" s="2"/>
      <c r="K141" s="2"/>
      <c r="L141" s="2"/>
    </row>
    <row r="142" spans="2:12" ht="15.75" thickBot="1" x14ac:dyDescent="0.3">
      <c r="B142" s="1">
        <v>135</v>
      </c>
      <c r="C142" s="2"/>
      <c r="D142" s="2"/>
      <c r="E142" s="12" t="str">
        <f t="shared" si="4"/>
        <v/>
      </c>
      <c r="F142" s="2"/>
      <c r="G142" s="2"/>
      <c r="H142" s="2"/>
      <c r="I142" s="2"/>
      <c r="J142" s="2"/>
      <c r="K142" s="2"/>
      <c r="L142" s="2"/>
    </row>
    <row r="143" spans="2:12" ht="15.75" thickBot="1" x14ac:dyDescent="0.3">
      <c r="B143" s="1">
        <v>136</v>
      </c>
      <c r="C143" s="2"/>
      <c r="D143" s="2"/>
      <c r="E143" s="12" t="str">
        <f t="shared" si="4"/>
        <v/>
      </c>
      <c r="F143" s="2"/>
      <c r="G143" s="2"/>
      <c r="H143" s="2"/>
      <c r="I143" s="2"/>
      <c r="J143" s="2"/>
      <c r="K143" s="2"/>
      <c r="L143" s="2"/>
    </row>
    <row r="144" spans="2:12" ht="15.75" thickBot="1" x14ac:dyDescent="0.3">
      <c r="B144" s="1">
        <v>137</v>
      </c>
      <c r="C144" s="2"/>
      <c r="D144" s="2"/>
      <c r="E144" s="12" t="str">
        <f t="shared" si="4"/>
        <v/>
      </c>
      <c r="F144" s="2"/>
      <c r="G144" s="2"/>
      <c r="H144" s="2"/>
      <c r="I144" s="2"/>
      <c r="J144" s="2"/>
      <c r="K144" s="2"/>
      <c r="L144" s="2"/>
    </row>
    <row r="145" spans="2:12" ht="15.75" thickBot="1" x14ac:dyDescent="0.3">
      <c r="B145" s="1">
        <v>138</v>
      </c>
      <c r="C145" s="2"/>
      <c r="D145" s="2"/>
      <c r="E145" s="12" t="str">
        <f t="shared" si="4"/>
        <v/>
      </c>
      <c r="F145" s="2"/>
      <c r="G145" s="2"/>
      <c r="H145" s="2"/>
      <c r="I145" s="2"/>
      <c r="J145" s="2"/>
      <c r="K145" s="2"/>
      <c r="L145" s="2"/>
    </row>
    <row r="146" spans="2:12" ht="15.75" thickBot="1" x14ac:dyDescent="0.3">
      <c r="B146" s="1">
        <v>139</v>
      </c>
      <c r="C146" s="2"/>
      <c r="D146" s="2"/>
      <c r="E146" s="12" t="str">
        <f t="shared" si="4"/>
        <v/>
      </c>
      <c r="F146" s="2"/>
      <c r="G146" s="2"/>
      <c r="H146" s="2"/>
      <c r="I146" s="2"/>
      <c r="J146" s="2"/>
      <c r="K146" s="2"/>
      <c r="L146" s="2"/>
    </row>
    <row r="147" spans="2:12" ht="15.75" thickBot="1" x14ac:dyDescent="0.3">
      <c r="B147" s="1">
        <v>140</v>
      </c>
      <c r="C147" s="2"/>
      <c r="D147" s="2"/>
      <c r="E147" s="12" t="str">
        <f t="shared" si="4"/>
        <v/>
      </c>
      <c r="F147" s="2"/>
      <c r="G147" s="2"/>
      <c r="H147" s="2"/>
      <c r="I147" s="2"/>
      <c r="J147" s="2"/>
      <c r="K147" s="2"/>
      <c r="L147" s="2"/>
    </row>
    <row r="148" spans="2:12" ht="15.75" thickBot="1" x14ac:dyDescent="0.3">
      <c r="B148" s="1">
        <v>141</v>
      </c>
      <c r="C148" s="2"/>
      <c r="D148" s="2"/>
      <c r="E148" s="12" t="str">
        <f t="shared" si="4"/>
        <v/>
      </c>
      <c r="F148" s="2"/>
      <c r="G148" s="2"/>
      <c r="H148" s="2"/>
      <c r="I148" s="2"/>
      <c r="J148" s="2"/>
      <c r="K148" s="2"/>
      <c r="L148" s="2"/>
    </row>
    <row r="149" spans="2:12" ht="15.75" thickBot="1" x14ac:dyDescent="0.3">
      <c r="B149" s="1">
        <v>142</v>
      </c>
      <c r="C149" s="2"/>
      <c r="D149" s="2"/>
      <c r="E149" s="12" t="str">
        <f t="shared" ref="E149:E180" si="5">IF(ISNA(VLOOKUP(D149,TYW,2,FALSE)),"",VLOOKUP(D149,TYW,2,FALSE))</f>
        <v/>
      </c>
      <c r="F149" s="2"/>
      <c r="G149" s="2"/>
      <c r="H149" s="2"/>
      <c r="I149" s="2"/>
      <c r="J149" s="2"/>
      <c r="K149" s="2"/>
      <c r="L149" s="2"/>
    </row>
    <row r="150" spans="2:12" ht="15.75" thickBot="1" x14ac:dyDescent="0.3">
      <c r="B150" s="1">
        <v>143</v>
      </c>
      <c r="C150" s="2"/>
      <c r="D150" s="2"/>
      <c r="E150" s="12" t="str">
        <f t="shared" si="5"/>
        <v/>
      </c>
      <c r="F150" s="2"/>
      <c r="G150" s="2"/>
      <c r="H150" s="2"/>
      <c r="I150" s="2"/>
      <c r="J150" s="2"/>
      <c r="K150" s="2"/>
      <c r="L150" s="2"/>
    </row>
    <row r="151" spans="2:12" ht="15.75" thickBot="1" x14ac:dyDescent="0.3">
      <c r="B151" s="1">
        <v>144</v>
      </c>
      <c r="C151" s="2"/>
      <c r="D151" s="2"/>
      <c r="E151" s="12" t="str">
        <f t="shared" si="5"/>
        <v/>
      </c>
      <c r="F151" s="2"/>
      <c r="G151" s="2"/>
      <c r="H151" s="2"/>
      <c r="I151" s="2"/>
      <c r="J151" s="2"/>
      <c r="K151" s="2"/>
      <c r="L151" s="2"/>
    </row>
    <row r="152" spans="2:12" ht="15.75" thickBot="1" x14ac:dyDescent="0.3">
      <c r="B152" s="1">
        <v>145</v>
      </c>
      <c r="C152" s="2"/>
      <c r="D152" s="2"/>
      <c r="E152" s="12" t="str">
        <f t="shared" si="5"/>
        <v/>
      </c>
      <c r="F152" s="2"/>
      <c r="G152" s="2"/>
      <c r="H152" s="2"/>
      <c r="I152" s="2"/>
      <c r="J152" s="2"/>
      <c r="K152" s="2"/>
      <c r="L152" s="2"/>
    </row>
    <row r="153" spans="2:12" ht="15.75" thickBot="1" x14ac:dyDescent="0.3">
      <c r="B153" s="1">
        <v>146</v>
      </c>
      <c r="C153" s="2"/>
      <c r="D153" s="2"/>
      <c r="E153" s="12" t="str">
        <f t="shared" si="5"/>
        <v/>
      </c>
      <c r="F153" s="2"/>
      <c r="G153" s="2"/>
      <c r="H153" s="2"/>
      <c r="I153" s="2"/>
      <c r="J153" s="2"/>
      <c r="K153" s="2"/>
      <c r="L153" s="2"/>
    </row>
    <row r="154" spans="2:12" ht="15.75" thickBot="1" x14ac:dyDescent="0.3">
      <c r="B154" s="1">
        <v>147</v>
      </c>
      <c r="C154" s="2"/>
      <c r="D154" s="2"/>
      <c r="E154" s="12" t="str">
        <f t="shared" si="5"/>
        <v/>
      </c>
      <c r="F154" s="2"/>
      <c r="G154" s="2"/>
      <c r="H154" s="2"/>
      <c r="I154" s="2"/>
      <c r="J154" s="2"/>
      <c r="K154" s="2"/>
      <c r="L154" s="2"/>
    </row>
    <row r="155" spans="2:12" ht="15.75" thickBot="1" x14ac:dyDescent="0.3">
      <c r="B155" s="1">
        <v>148</v>
      </c>
      <c r="C155" s="2"/>
      <c r="D155" s="2"/>
      <c r="E155" s="12" t="str">
        <f t="shared" si="5"/>
        <v/>
      </c>
      <c r="F155" s="2"/>
      <c r="G155" s="2"/>
      <c r="H155" s="2"/>
      <c r="I155" s="2"/>
      <c r="J155" s="2"/>
      <c r="K155" s="2"/>
      <c r="L155" s="2"/>
    </row>
    <row r="156" spans="2:12" ht="15.75" thickBot="1" x14ac:dyDescent="0.3">
      <c r="B156" s="1">
        <v>149</v>
      </c>
      <c r="C156" s="2"/>
      <c r="D156" s="2"/>
      <c r="E156" s="12" t="str">
        <f t="shared" si="5"/>
        <v/>
      </c>
      <c r="F156" s="2"/>
      <c r="G156" s="2"/>
      <c r="H156" s="2"/>
      <c r="I156" s="2"/>
      <c r="J156" s="2"/>
      <c r="K156" s="2"/>
      <c r="L156" s="2"/>
    </row>
    <row r="157" spans="2:12" ht="15.75" thickBot="1" x14ac:dyDescent="0.3">
      <c r="B157" s="1">
        <v>150</v>
      </c>
      <c r="C157" s="2"/>
      <c r="D157" s="2"/>
      <c r="E157" s="12" t="str">
        <f t="shared" si="5"/>
        <v/>
      </c>
      <c r="F157" s="2"/>
      <c r="G157" s="2"/>
      <c r="H157" s="2"/>
      <c r="I157" s="2"/>
      <c r="J157" s="2"/>
      <c r="K157" s="2"/>
      <c r="L157" s="2"/>
    </row>
    <row r="158" spans="2:12" ht="15.75" thickBot="1" x14ac:dyDescent="0.3">
      <c r="B158" s="1">
        <v>151</v>
      </c>
      <c r="C158" s="2"/>
      <c r="D158" s="2"/>
      <c r="E158" s="12" t="str">
        <f t="shared" si="5"/>
        <v/>
      </c>
      <c r="F158" s="2"/>
      <c r="G158" s="2"/>
      <c r="H158" s="2"/>
      <c r="I158" s="2"/>
      <c r="J158" s="2"/>
      <c r="K158" s="2"/>
      <c r="L158" s="2"/>
    </row>
    <row r="159" spans="2:12" ht="15.75" thickBot="1" x14ac:dyDescent="0.3">
      <c r="B159" s="1">
        <v>152</v>
      </c>
      <c r="C159" s="2"/>
      <c r="D159" s="2"/>
      <c r="E159" s="12" t="str">
        <f t="shared" si="5"/>
        <v/>
      </c>
      <c r="F159" s="2"/>
      <c r="G159" s="2"/>
      <c r="H159" s="2"/>
      <c r="I159" s="2"/>
      <c r="J159" s="2"/>
      <c r="K159" s="2"/>
      <c r="L159" s="2"/>
    </row>
    <row r="160" spans="2:12" ht="15.75" thickBot="1" x14ac:dyDescent="0.3">
      <c r="B160" s="1">
        <v>153</v>
      </c>
      <c r="C160" s="2"/>
      <c r="D160" s="2"/>
      <c r="E160" s="12" t="str">
        <f t="shared" si="5"/>
        <v/>
      </c>
      <c r="F160" s="2"/>
      <c r="G160" s="2"/>
      <c r="H160" s="2"/>
      <c r="I160" s="2"/>
      <c r="J160" s="2"/>
      <c r="K160" s="2"/>
      <c r="L160" s="2"/>
    </row>
    <row r="161" spans="2:12" ht="15.75" thickBot="1" x14ac:dyDescent="0.3">
      <c r="B161" s="1">
        <v>154</v>
      </c>
      <c r="C161" s="2"/>
      <c r="D161" s="2"/>
      <c r="E161" s="12" t="str">
        <f t="shared" si="5"/>
        <v/>
      </c>
      <c r="F161" s="2"/>
      <c r="G161" s="2"/>
      <c r="H161" s="2"/>
      <c r="I161" s="2"/>
      <c r="J161" s="2"/>
      <c r="K161" s="2"/>
      <c r="L161" s="2"/>
    </row>
    <row r="162" spans="2:12" ht="15.75" thickBot="1" x14ac:dyDescent="0.3">
      <c r="B162" s="1">
        <v>155</v>
      </c>
      <c r="C162" s="2"/>
      <c r="D162" s="2"/>
      <c r="E162" s="12" t="str">
        <f t="shared" si="5"/>
        <v/>
      </c>
      <c r="F162" s="2"/>
      <c r="G162" s="2"/>
      <c r="H162" s="2"/>
      <c r="I162" s="2"/>
      <c r="J162" s="2"/>
      <c r="K162" s="2"/>
      <c r="L162" s="2"/>
    </row>
    <row r="163" spans="2:12" ht="15.75" thickBot="1" x14ac:dyDescent="0.3">
      <c r="B163" s="1">
        <v>156</v>
      </c>
      <c r="C163" s="2"/>
      <c r="D163" s="2"/>
      <c r="E163" s="12" t="str">
        <f t="shared" si="5"/>
        <v/>
      </c>
      <c r="F163" s="2"/>
      <c r="G163" s="2"/>
      <c r="H163" s="2"/>
      <c r="I163" s="2"/>
      <c r="J163" s="2"/>
      <c r="K163" s="2"/>
      <c r="L163" s="2"/>
    </row>
    <row r="164" spans="2:12" ht="15.75" thickBot="1" x14ac:dyDescent="0.3">
      <c r="B164" s="1">
        <v>157</v>
      </c>
      <c r="C164" s="2"/>
      <c r="D164" s="2"/>
      <c r="E164" s="12" t="str">
        <f t="shared" si="5"/>
        <v/>
      </c>
      <c r="F164" s="2"/>
      <c r="G164" s="2"/>
      <c r="H164" s="2"/>
      <c r="I164" s="2"/>
      <c r="J164" s="2"/>
      <c r="K164" s="2"/>
      <c r="L164" s="2"/>
    </row>
    <row r="165" spans="2:12" ht="15.75" thickBot="1" x14ac:dyDescent="0.3">
      <c r="B165" s="1">
        <v>158</v>
      </c>
      <c r="C165" s="2"/>
      <c r="D165" s="2"/>
      <c r="E165" s="12" t="str">
        <f t="shared" si="5"/>
        <v/>
      </c>
      <c r="F165" s="2"/>
      <c r="G165" s="2"/>
      <c r="H165" s="2"/>
      <c r="I165" s="2"/>
      <c r="J165" s="2"/>
      <c r="K165" s="2"/>
      <c r="L165" s="2"/>
    </row>
    <row r="166" spans="2:12" ht="15.75" thickBot="1" x14ac:dyDescent="0.3">
      <c r="B166" s="1">
        <v>159</v>
      </c>
      <c r="C166" s="2"/>
      <c r="D166" s="2"/>
      <c r="E166" s="12" t="str">
        <f t="shared" si="5"/>
        <v/>
      </c>
      <c r="F166" s="2"/>
      <c r="G166" s="2"/>
      <c r="H166" s="2"/>
      <c r="I166" s="2"/>
      <c r="J166" s="2"/>
      <c r="K166" s="2"/>
      <c r="L166" s="2"/>
    </row>
    <row r="167" spans="2:12" ht="15.75" thickBot="1" x14ac:dyDescent="0.3">
      <c r="B167" s="1">
        <v>160</v>
      </c>
      <c r="C167" s="2"/>
      <c r="D167" s="2"/>
      <c r="E167" s="12" t="str">
        <f t="shared" si="5"/>
        <v/>
      </c>
      <c r="F167" s="2"/>
      <c r="G167" s="2"/>
      <c r="H167" s="2"/>
      <c r="I167" s="2"/>
      <c r="J167" s="2"/>
      <c r="K167" s="2"/>
      <c r="L167" s="2"/>
    </row>
    <row r="168" spans="2:12" ht="15.75" thickBot="1" x14ac:dyDescent="0.3">
      <c r="B168" s="1">
        <v>161</v>
      </c>
      <c r="C168" s="2"/>
      <c r="D168" s="2"/>
      <c r="E168" s="12" t="str">
        <f t="shared" si="5"/>
        <v/>
      </c>
      <c r="F168" s="2"/>
      <c r="G168" s="2"/>
      <c r="H168" s="2"/>
      <c r="I168" s="2"/>
      <c r="J168" s="2"/>
      <c r="K168" s="2"/>
      <c r="L168" s="2"/>
    </row>
    <row r="169" spans="2:12" ht="15.75" thickBot="1" x14ac:dyDescent="0.3">
      <c r="B169" s="1">
        <v>162</v>
      </c>
      <c r="C169" s="2"/>
      <c r="D169" s="2"/>
      <c r="E169" s="12" t="str">
        <f t="shared" si="5"/>
        <v/>
      </c>
      <c r="F169" s="2"/>
      <c r="G169" s="2"/>
      <c r="H169" s="2"/>
      <c r="I169" s="2"/>
      <c r="J169" s="2"/>
      <c r="K169" s="2"/>
      <c r="L169" s="2"/>
    </row>
    <row r="170" spans="2:12" ht="15.75" thickBot="1" x14ac:dyDescent="0.3">
      <c r="B170" s="1">
        <v>163</v>
      </c>
      <c r="C170" s="2"/>
      <c r="D170" s="2"/>
      <c r="E170" s="12" t="str">
        <f t="shared" si="5"/>
        <v/>
      </c>
      <c r="F170" s="2"/>
      <c r="G170" s="2"/>
      <c r="H170" s="2"/>
      <c r="I170" s="2"/>
      <c r="J170" s="2"/>
      <c r="K170" s="2"/>
      <c r="L170" s="2"/>
    </row>
    <row r="171" spans="2:12" ht="15.75" thickBot="1" x14ac:dyDescent="0.3">
      <c r="B171" s="1">
        <v>164</v>
      </c>
      <c r="C171" s="2"/>
      <c r="D171" s="2"/>
      <c r="E171" s="12" t="str">
        <f t="shared" si="5"/>
        <v/>
      </c>
      <c r="F171" s="2"/>
      <c r="G171" s="2"/>
      <c r="H171" s="2"/>
      <c r="I171" s="2"/>
      <c r="J171" s="2"/>
      <c r="K171" s="2"/>
      <c r="L171" s="2"/>
    </row>
    <row r="172" spans="2:12" ht="15.75" thickBot="1" x14ac:dyDescent="0.3">
      <c r="B172" s="1">
        <v>165</v>
      </c>
      <c r="C172" s="2"/>
      <c r="D172" s="2"/>
      <c r="E172" s="12" t="str">
        <f t="shared" si="5"/>
        <v/>
      </c>
      <c r="F172" s="2"/>
      <c r="G172" s="2"/>
      <c r="H172" s="2"/>
      <c r="I172" s="2"/>
      <c r="J172" s="2"/>
      <c r="K172" s="2"/>
      <c r="L172" s="2"/>
    </row>
    <row r="173" spans="2:12" ht="15.75" thickBot="1" x14ac:dyDescent="0.3">
      <c r="B173" s="1">
        <v>166</v>
      </c>
      <c r="C173" s="2"/>
      <c r="D173" s="2"/>
      <c r="E173" s="12" t="str">
        <f t="shared" si="5"/>
        <v/>
      </c>
      <c r="F173" s="2"/>
      <c r="G173" s="2"/>
      <c r="H173" s="2"/>
      <c r="I173" s="2"/>
      <c r="J173" s="2"/>
      <c r="K173" s="2"/>
      <c r="L173" s="2"/>
    </row>
    <row r="174" spans="2:12" ht="15.75" thickBot="1" x14ac:dyDescent="0.3">
      <c r="B174" s="1">
        <v>167</v>
      </c>
      <c r="C174" s="2"/>
      <c r="D174" s="2"/>
      <c r="E174" s="12" t="str">
        <f t="shared" si="5"/>
        <v/>
      </c>
      <c r="F174" s="2"/>
      <c r="G174" s="2"/>
      <c r="H174" s="2"/>
      <c r="I174" s="2"/>
      <c r="J174" s="2"/>
      <c r="K174" s="2"/>
      <c r="L174" s="2"/>
    </row>
    <row r="175" spans="2:12" ht="15.75" thickBot="1" x14ac:dyDescent="0.3">
      <c r="B175" s="1">
        <v>168</v>
      </c>
      <c r="C175" s="2"/>
      <c r="D175" s="2"/>
      <c r="E175" s="12" t="str">
        <f t="shared" si="5"/>
        <v/>
      </c>
      <c r="F175" s="2"/>
      <c r="G175" s="2"/>
      <c r="H175" s="2"/>
      <c r="I175" s="2"/>
      <c r="J175" s="2"/>
      <c r="K175" s="2"/>
      <c r="L175" s="2"/>
    </row>
    <row r="176" spans="2:12" ht="15.75" thickBot="1" x14ac:dyDescent="0.3">
      <c r="B176" s="1">
        <v>169</v>
      </c>
      <c r="C176" s="2"/>
      <c r="D176" s="2"/>
      <c r="E176" s="12" t="str">
        <f t="shared" si="5"/>
        <v/>
      </c>
      <c r="F176" s="2"/>
      <c r="G176" s="2"/>
      <c r="H176" s="2"/>
      <c r="I176" s="2"/>
      <c r="J176" s="2"/>
      <c r="K176" s="2"/>
      <c r="L176" s="2"/>
    </row>
    <row r="177" spans="2:12" ht="15.75" thickBot="1" x14ac:dyDescent="0.3">
      <c r="B177" s="1">
        <v>170</v>
      </c>
      <c r="C177" s="2"/>
      <c r="D177" s="2"/>
      <c r="E177" s="12" t="str">
        <f t="shared" si="5"/>
        <v/>
      </c>
      <c r="F177" s="2"/>
      <c r="G177" s="2"/>
      <c r="H177" s="2"/>
      <c r="I177" s="2"/>
      <c r="J177" s="2"/>
      <c r="K177" s="2"/>
      <c r="L177" s="2"/>
    </row>
    <row r="178" spans="2:12" ht="15.75" thickBot="1" x14ac:dyDescent="0.3">
      <c r="B178" s="1">
        <v>171</v>
      </c>
      <c r="C178" s="2"/>
      <c r="D178" s="2"/>
      <c r="E178" s="12" t="str">
        <f t="shared" si="5"/>
        <v/>
      </c>
      <c r="F178" s="2"/>
      <c r="G178" s="2"/>
      <c r="H178" s="2"/>
      <c r="I178" s="2"/>
      <c r="J178" s="2"/>
      <c r="K178" s="2"/>
      <c r="L178" s="2"/>
    </row>
    <row r="179" spans="2:12" ht="15.75" thickBot="1" x14ac:dyDescent="0.3">
      <c r="B179" s="1">
        <v>172</v>
      </c>
      <c r="C179" s="2"/>
      <c r="D179" s="2"/>
      <c r="E179" s="12" t="str">
        <f t="shared" si="5"/>
        <v/>
      </c>
      <c r="F179" s="2"/>
      <c r="G179" s="2"/>
      <c r="H179" s="2"/>
      <c r="I179" s="2"/>
      <c r="J179" s="2"/>
      <c r="K179" s="2"/>
      <c r="L179" s="2"/>
    </row>
    <row r="180" spans="2:12" ht="15.75" thickBot="1" x14ac:dyDescent="0.3">
      <c r="B180" s="1">
        <v>173</v>
      </c>
      <c r="C180" s="2"/>
      <c r="D180" s="2"/>
      <c r="E180" s="12" t="str">
        <f t="shared" si="5"/>
        <v/>
      </c>
      <c r="F180" s="2"/>
      <c r="G180" s="2"/>
      <c r="H180" s="2"/>
      <c r="I180" s="2"/>
      <c r="J180" s="2"/>
      <c r="K180" s="2"/>
      <c r="L180" s="2"/>
    </row>
    <row r="181" spans="2:12" ht="15.75" thickBot="1" x14ac:dyDescent="0.3">
      <c r="B181" s="1">
        <v>174</v>
      </c>
      <c r="C181" s="2"/>
      <c r="D181" s="2"/>
      <c r="E181" s="12" t="str">
        <f t="shared" ref="E181:E207" si="6">IF(ISNA(VLOOKUP(D181,TYW,2,FALSE)),"",VLOOKUP(D181,TYW,2,FALSE))</f>
        <v/>
      </c>
      <c r="F181" s="2"/>
      <c r="G181" s="2"/>
      <c r="H181" s="2"/>
      <c r="I181" s="2"/>
      <c r="J181" s="2"/>
      <c r="K181" s="2"/>
      <c r="L181" s="2"/>
    </row>
    <row r="182" spans="2:12" ht="15.75" thickBot="1" x14ac:dyDescent="0.3">
      <c r="B182" s="1">
        <v>175</v>
      </c>
      <c r="C182" s="2"/>
      <c r="D182" s="2"/>
      <c r="E182" s="12" t="str">
        <f t="shared" si="6"/>
        <v/>
      </c>
      <c r="F182" s="2"/>
      <c r="G182" s="2"/>
      <c r="H182" s="2"/>
      <c r="I182" s="2"/>
      <c r="J182" s="2"/>
      <c r="K182" s="2"/>
      <c r="L182" s="2"/>
    </row>
    <row r="183" spans="2:12" ht="15.75" thickBot="1" x14ac:dyDescent="0.3">
      <c r="B183" s="1">
        <v>176</v>
      </c>
      <c r="C183" s="2"/>
      <c r="D183" s="2"/>
      <c r="E183" s="12" t="str">
        <f t="shared" si="6"/>
        <v/>
      </c>
      <c r="F183" s="2"/>
      <c r="G183" s="2"/>
      <c r="H183" s="2"/>
      <c r="I183" s="2"/>
      <c r="J183" s="2"/>
      <c r="K183" s="2"/>
      <c r="L183" s="2"/>
    </row>
    <row r="184" spans="2:12" ht="15.75" thickBot="1" x14ac:dyDescent="0.3">
      <c r="B184" s="1">
        <v>177</v>
      </c>
      <c r="C184" s="2"/>
      <c r="D184" s="2"/>
      <c r="E184" s="12" t="str">
        <f t="shared" si="6"/>
        <v/>
      </c>
      <c r="F184" s="2"/>
      <c r="G184" s="2"/>
      <c r="H184" s="2"/>
      <c r="I184" s="2"/>
      <c r="J184" s="2"/>
      <c r="K184" s="2"/>
      <c r="L184" s="2"/>
    </row>
    <row r="185" spans="2:12" ht="15.75" thickBot="1" x14ac:dyDescent="0.3">
      <c r="B185" s="1">
        <v>178</v>
      </c>
      <c r="C185" s="2"/>
      <c r="D185" s="2"/>
      <c r="E185" s="12" t="str">
        <f t="shared" si="6"/>
        <v/>
      </c>
      <c r="F185" s="2"/>
      <c r="G185" s="2"/>
      <c r="H185" s="2"/>
      <c r="I185" s="2"/>
      <c r="J185" s="2"/>
      <c r="K185" s="2"/>
      <c r="L185" s="2"/>
    </row>
    <row r="186" spans="2:12" ht="15.75" thickBot="1" x14ac:dyDescent="0.3">
      <c r="B186" s="1">
        <v>179</v>
      </c>
      <c r="C186" s="2"/>
      <c r="D186" s="2"/>
      <c r="E186" s="12" t="str">
        <f t="shared" si="6"/>
        <v/>
      </c>
      <c r="F186" s="2"/>
      <c r="G186" s="2"/>
      <c r="H186" s="2"/>
      <c r="I186" s="2"/>
      <c r="J186" s="2"/>
      <c r="K186" s="2"/>
      <c r="L186" s="2"/>
    </row>
    <row r="187" spans="2:12" ht="15.75" thickBot="1" x14ac:dyDescent="0.3">
      <c r="B187" s="1">
        <v>180</v>
      </c>
      <c r="C187" s="2"/>
      <c r="D187" s="2"/>
      <c r="E187" s="12" t="str">
        <f t="shared" si="6"/>
        <v/>
      </c>
      <c r="F187" s="2"/>
      <c r="G187" s="2"/>
      <c r="H187" s="2"/>
      <c r="I187" s="2"/>
      <c r="J187" s="2"/>
      <c r="K187" s="2"/>
      <c r="L187" s="2"/>
    </row>
    <row r="188" spans="2:12" ht="15.75" thickBot="1" x14ac:dyDescent="0.3">
      <c r="B188" s="1">
        <v>181</v>
      </c>
      <c r="C188" s="2"/>
      <c r="D188" s="2"/>
      <c r="E188" s="12" t="str">
        <f t="shared" si="6"/>
        <v/>
      </c>
      <c r="F188" s="2"/>
      <c r="G188" s="2"/>
      <c r="H188" s="2"/>
      <c r="I188" s="2"/>
      <c r="J188" s="2"/>
      <c r="K188" s="2"/>
      <c r="L188" s="2"/>
    </row>
    <row r="189" spans="2:12" ht="15.75" thickBot="1" x14ac:dyDescent="0.3">
      <c r="B189" s="1">
        <v>182</v>
      </c>
      <c r="C189" s="2"/>
      <c r="D189" s="2"/>
      <c r="E189" s="12" t="str">
        <f t="shared" si="6"/>
        <v/>
      </c>
      <c r="F189" s="2"/>
      <c r="G189" s="2"/>
      <c r="H189" s="2"/>
      <c r="I189" s="2"/>
      <c r="J189" s="2"/>
      <c r="K189" s="2"/>
      <c r="L189" s="2"/>
    </row>
    <row r="190" spans="2:12" ht="15.75" thickBot="1" x14ac:dyDescent="0.3">
      <c r="B190" s="1">
        <v>183</v>
      </c>
      <c r="C190" s="2"/>
      <c r="D190" s="2"/>
      <c r="E190" s="12" t="str">
        <f t="shared" si="6"/>
        <v/>
      </c>
      <c r="F190" s="2"/>
      <c r="G190" s="2"/>
      <c r="H190" s="2"/>
      <c r="I190" s="2"/>
      <c r="J190" s="2"/>
      <c r="K190" s="2"/>
      <c r="L190" s="2"/>
    </row>
    <row r="191" spans="2:12" ht="15.75" thickBot="1" x14ac:dyDescent="0.3">
      <c r="B191" s="1">
        <v>184</v>
      </c>
      <c r="C191" s="2"/>
      <c r="D191" s="2"/>
      <c r="E191" s="12" t="str">
        <f t="shared" si="6"/>
        <v/>
      </c>
      <c r="F191" s="2"/>
      <c r="G191" s="2"/>
      <c r="H191" s="2"/>
      <c r="I191" s="2"/>
      <c r="J191" s="2"/>
      <c r="K191" s="2"/>
      <c r="L191" s="2"/>
    </row>
    <row r="192" spans="2:12" ht="15.75" thickBot="1" x14ac:dyDescent="0.3">
      <c r="B192" s="1">
        <v>185</v>
      </c>
      <c r="C192" s="2"/>
      <c r="D192" s="2"/>
      <c r="E192" s="12" t="str">
        <f t="shared" si="6"/>
        <v/>
      </c>
      <c r="F192" s="2"/>
      <c r="G192" s="2"/>
      <c r="H192" s="2"/>
      <c r="I192" s="2"/>
      <c r="J192" s="2"/>
      <c r="K192" s="2"/>
      <c r="L192" s="2"/>
    </row>
    <row r="193" spans="2:12" ht="15.75" thickBot="1" x14ac:dyDescent="0.3">
      <c r="B193" s="1">
        <v>186</v>
      </c>
      <c r="C193" s="2"/>
      <c r="D193" s="2"/>
      <c r="E193" s="12" t="str">
        <f t="shared" si="6"/>
        <v/>
      </c>
      <c r="F193" s="2"/>
      <c r="G193" s="2"/>
      <c r="H193" s="2"/>
      <c r="I193" s="2"/>
      <c r="J193" s="2"/>
      <c r="K193" s="2"/>
      <c r="L193" s="2"/>
    </row>
    <row r="194" spans="2:12" ht="15.75" thickBot="1" x14ac:dyDescent="0.3">
      <c r="B194" s="1">
        <v>187</v>
      </c>
      <c r="C194" s="2"/>
      <c r="D194" s="2"/>
      <c r="E194" s="12" t="str">
        <f t="shared" si="6"/>
        <v/>
      </c>
      <c r="F194" s="2"/>
      <c r="G194" s="2"/>
      <c r="H194" s="2"/>
      <c r="I194" s="2"/>
      <c r="J194" s="2"/>
      <c r="K194" s="2"/>
      <c r="L194" s="2"/>
    </row>
    <row r="195" spans="2:12" ht="15.75" thickBot="1" x14ac:dyDescent="0.3">
      <c r="B195" s="1">
        <v>188</v>
      </c>
      <c r="C195" s="2"/>
      <c r="D195" s="2"/>
      <c r="E195" s="12" t="str">
        <f t="shared" si="6"/>
        <v/>
      </c>
      <c r="F195" s="2"/>
      <c r="G195" s="2"/>
      <c r="H195" s="2"/>
      <c r="I195" s="2"/>
      <c r="J195" s="2"/>
      <c r="K195" s="2"/>
      <c r="L195" s="2"/>
    </row>
    <row r="196" spans="2:12" ht="15.75" thickBot="1" x14ac:dyDescent="0.3">
      <c r="B196" s="1">
        <v>189</v>
      </c>
      <c r="C196" s="2"/>
      <c r="D196" s="2"/>
      <c r="E196" s="12" t="str">
        <f t="shared" si="6"/>
        <v/>
      </c>
      <c r="F196" s="2"/>
      <c r="G196" s="2"/>
      <c r="H196" s="2"/>
      <c r="I196" s="2"/>
      <c r="J196" s="2"/>
      <c r="K196" s="2"/>
      <c r="L196" s="2"/>
    </row>
    <row r="197" spans="2:12" ht="15.75" thickBot="1" x14ac:dyDescent="0.3">
      <c r="B197" s="1">
        <v>190</v>
      </c>
      <c r="C197" s="2"/>
      <c r="D197" s="2"/>
      <c r="E197" s="12" t="str">
        <f t="shared" si="6"/>
        <v/>
      </c>
      <c r="F197" s="2"/>
      <c r="G197" s="2"/>
      <c r="H197" s="2"/>
      <c r="I197" s="2"/>
      <c r="J197" s="2"/>
      <c r="K197" s="2"/>
      <c r="L197" s="2"/>
    </row>
    <row r="198" spans="2:12" ht="15.75" thickBot="1" x14ac:dyDescent="0.3">
      <c r="B198" s="1">
        <v>191</v>
      </c>
      <c r="C198" s="2"/>
      <c r="D198" s="2"/>
      <c r="E198" s="12" t="str">
        <f t="shared" si="6"/>
        <v/>
      </c>
      <c r="F198" s="2"/>
      <c r="G198" s="2"/>
      <c r="H198" s="2"/>
      <c r="I198" s="2"/>
      <c r="J198" s="2"/>
      <c r="K198" s="2"/>
      <c r="L198" s="2"/>
    </row>
    <row r="199" spans="2:12" ht="15.75" thickBot="1" x14ac:dyDescent="0.3">
      <c r="B199" s="1">
        <v>192</v>
      </c>
      <c r="C199" s="2"/>
      <c r="D199" s="2"/>
      <c r="E199" s="12" t="str">
        <f t="shared" si="6"/>
        <v/>
      </c>
      <c r="F199" s="2"/>
      <c r="G199" s="2"/>
      <c r="H199" s="2"/>
      <c r="I199" s="2"/>
      <c r="J199" s="2"/>
      <c r="K199" s="2"/>
      <c r="L199" s="2"/>
    </row>
    <row r="200" spans="2:12" ht="15.75" thickBot="1" x14ac:dyDescent="0.3">
      <c r="B200" s="1">
        <v>193</v>
      </c>
      <c r="C200" s="2"/>
      <c r="D200" s="2"/>
      <c r="E200" s="12" t="str">
        <f t="shared" si="6"/>
        <v/>
      </c>
      <c r="F200" s="2"/>
      <c r="G200" s="2"/>
      <c r="H200" s="2"/>
      <c r="I200" s="2"/>
      <c r="J200" s="2"/>
      <c r="K200" s="2"/>
      <c r="L200" s="2"/>
    </row>
    <row r="201" spans="2:12" ht="15.75" thickBot="1" x14ac:dyDescent="0.3">
      <c r="B201" s="1">
        <v>194</v>
      </c>
      <c r="C201" s="2"/>
      <c r="D201" s="2"/>
      <c r="E201" s="12" t="str">
        <f t="shared" si="6"/>
        <v/>
      </c>
      <c r="F201" s="2"/>
      <c r="G201" s="2"/>
      <c r="H201" s="2"/>
      <c r="I201" s="2"/>
      <c r="J201" s="2"/>
      <c r="K201" s="2"/>
      <c r="L201" s="2"/>
    </row>
    <row r="202" spans="2:12" ht="15.75" thickBot="1" x14ac:dyDescent="0.3">
      <c r="B202" s="1">
        <v>195</v>
      </c>
      <c r="C202" s="2"/>
      <c r="D202" s="2"/>
      <c r="E202" s="12" t="str">
        <f t="shared" si="6"/>
        <v/>
      </c>
      <c r="F202" s="2"/>
      <c r="G202" s="2"/>
      <c r="H202" s="2"/>
      <c r="I202" s="2"/>
      <c r="J202" s="2"/>
      <c r="K202" s="2"/>
      <c r="L202" s="2"/>
    </row>
    <row r="203" spans="2:12" ht="15.75" thickBot="1" x14ac:dyDescent="0.3">
      <c r="B203" s="1">
        <v>196</v>
      </c>
      <c r="C203" s="2"/>
      <c r="D203" s="2"/>
      <c r="E203" s="12" t="str">
        <f t="shared" si="6"/>
        <v/>
      </c>
      <c r="F203" s="2"/>
      <c r="G203" s="2"/>
      <c r="H203" s="2"/>
      <c r="I203" s="2"/>
      <c r="J203" s="2"/>
      <c r="K203" s="2"/>
      <c r="L203" s="2"/>
    </row>
    <row r="204" spans="2:12" ht="15.75" thickBot="1" x14ac:dyDescent="0.3">
      <c r="B204" s="1">
        <v>197</v>
      </c>
      <c r="C204" s="2"/>
      <c r="D204" s="2"/>
      <c r="E204" s="12" t="str">
        <f t="shared" si="6"/>
        <v/>
      </c>
      <c r="F204" s="2"/>
      <c r="G204" s="2"/>
      <c r="H204" s="2"/>
      <c r="I204" s="2"/>
      <c r="J204" s="2"/>
      <c r="K204" s="2"/>
      <c r="L204" s="2"/>
    </row>
    <row r="205" spans="2:12" ht="15.75" thickBot="1" x14ac:dyDescent="0.3">
      <c r="B205" s="1">
        <v>198</v>
      </c>
      <c r="C205" s="2"/>
      <c r="D205" s="2"/>
      <c r="E205" s="12" t="str">
        <f t="shared" si="6"/>
        <v/>
      </c>
      <c r="F205" s="2"/>
      <c r="G205" s="2"/>
      <c r="H205" s="2"/>
      <c r="I205" s="2"/>
      <c r="J205" s="2"/>
      <c r="K205" s="2"/>
      <c r="L205" s="2"/>
    </row>
    <row r="206" spans="2:12" ht="15.75" thickBot="1" x14ac:dyDescent="0.3">
      <c r="B206" s="1">
        <v>199</v>
      </c>
      <c r="C206" s="2"/>
      <c r="D206" s="2"/>
      <c r="E206" s="12" t="str">
        <f t="shared" si="6"/>
        <v/>
      </c>
      <c r="F206" s="2"/>
      <c r="G206" s="2"/>
      <c r="H206" s="2"/>
      <c r="I206" s="2"/>
      <c r="J206" s="2"/>
      <c r="K206" s="2"/>
      <c r="L206" s="2"/>
    </row>
    <row r="207" spans="2:12" ht="15.75" thickBot="1" x14ac:dyDescent="0.3">
      <c r="B207" s="1">
        <v>200</v>
      </c>
      <c r="C207" s="2"/>
      <c r="D207" s="2"/>
      <c r="E207" s="12" t="str">
        <f t="shared" si="6"/>
        <v/>
      </c>
      <c r="F207" s="2"/>
      <c r="G207" s="2"/>
      <c r="H207" s="2"/>
      <c r="I207" s="2"/>
      <c r="J207" s="2"/>
      <c r="K207" s="2"/>
      <c r="L207" s="2"/>
    </row>
  </sheetData>
  <mergeCells count="11">
    <mergeCell ref="I6:I7"/>
    <mergeCell ref="J6:J7"/>
    <mergeCell ref="K6:K7"/>
    <mergeCell ref="L6:L7"/>
    <mergeCell ref="B6:B7"/>
    <mergeCell ref="C6:C7"/>
    <mergeCell ref="D6:D7"/>
    <mergeCell ref="G6:G7"/>
    <mergeCell ref="H6:H7"/>
    <mergeCell ref="F6:F7"/>
    <mergeCell ref="E6:E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Sheet2!$D$2:$D$17</xm:f>
          </x14:formula1>
          <xm:sqref>G62:G207</xm:sqref>
        </x14:dataValidation>
        <x14:dataValidation type="list" allowBlank="1" showInputMessage="1" showErrorMessage="1">
          <x14:formula1>
            <xm:f>Sheet2!$A$2:$A$40</xm:f>
          </x14:formula1>
          <xm:sqref>D8:D207</xm:sqref>
        </x14:dataValidation>
        <x14:dataValidation type="list" allowBlank="1" showInputMessage="1" showErrorMessage="1">
          <x14:formula1>
            <xm:f>Sheet2!$F$2:$F$7</xm:f>
          </x14:formula1>
          <xm:sqref>L8:L207</xm:sqref>
        </x14:dataValidation>
        <x14:dataValidation type="list" allowBlank="1" showInputMessage="1" showErrorMessage="1">
          <x14:formula1>
            <xm:f>Sheet2!$D$2:$D$20</xm:f>
          </x14:formula1>
          <xm:sqref>G8:G61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4"/>
  <sheetViews>
    <sheetView topLeftCell="B2" workbookViewId="0">
      <selection activeCell="F11" sqref="F11"/>
    </sheetView>
  </sheetViews>
  <sheetFormatPr defaultRowHeight="15" x14ac:dyDescent="0.25"/>
  <cols>
    <col min="1" max="1" width="77.140625" bestFit="1" customWidth="1"/>
    <col min="2" max="2" width="21.5703125" customWidth="1"/>
    <col min="4" max="4" width="48.7109375" bestFit="1" customWidth="1"/>
    <col min="6" max="6" width="23.7109375" bestFit="1" customWidth="1"/>
  </cols>
  <sheetData>
    <row r="1" spans="1:6" x14ac:dyDescent="0.25">
      <c r="A1" s="3" t="s">
        <v>8</v>
      </c>
      <c r="B1" s="3" t="s">
        <v>114</v>
      </c>
      <c r="D1" s="3" t="s">
        <v>11</v>
      </c>
      <c r="F1" s="3" t="s">
        <v>16</v>
      </c>
    </row>
    <row r="2" spans="1:6" x14ac:dyDescent="0.25">
      <c r="A2" t="s">
        <v>17</v>
      </c>
      <c r="B2" s="4" t="s">
        <v>115</v>
      </c>
      <c r="D2" t="s">
        <v>116</v>
      </c>
      <c r="F2" t="s">
        <v>64</v>
      </c>
    </row>
    <row r="3" spans="1:6" x14ac:dyDescent="0.25">
      <c r="A3" t="s">
        <v>76</v>
      </c>
      <c r="B3" s="4" t="s">
        <v>117</v>
      </c>
      <c r="D3" t="s">
        <v>118</v>
      </c>
      <c r="F3" t="s">
        <v>49</v>
      </c>
    </row>
    <row r="4" spans="1:6" x14ac:dyDescent="0.25">
      <c r="A4" t="s">
        <v>68</v>
      </c>
      <c r="B4" s="4" t="s">
        <v>119</v>
      </c>
      <c r="D4" t="s">
        <v>120</v>
      </c>
      <c r="F4" t="s">
        <v>71</v>
      </c>
    </row>
    <row r="5" spans="1:6" x14ac:dyDescent="0.25">
      <c r="A5" t="s">
        <v>121</v>
      </c>
      <c r="B5" s="4" t="s">
        <v>122</v>
      </c>
      <c r="D5" t="s">
        <v>123</v>
      </c>
      <c r="F5" t="s">
        <v>26</v>
      </c>
    </row>
    <row r="6" spans="1:6" x14ac:dyDescent="0.25">
      <c r="A6" t="s">
        <v>124</v>
      </c>
      <c r="B6" s="4" t="s">
        <v>125</v>
      </c>
      <c r="D6" t="s">
        <v>19</v>
      </c>
      <c r="F6" t="s">
        <v>21</v>
      </c>
    </row>
    <row r="7" spans="1:6" x14ac:dyDescent="0.25">
      <c r="A7" t="s">
        <v>31</v>
      </c>
      <c r="B7" s="4" t="s">
        <v>126</v>
      </c>
      <c r="D7" t="s">
        <v>81</v>
      </c>
      <c r="F7" t="s">
        <v>30</v>
      </c>
    </row>
    <row r="8" spans="1:6" x14ac:dyDescent="0.25">
      <c r="A8" t="s">
        <v>46</v>
      </c>
      <c r="B8" s="4" t="s">
        <v>127</v>
      </c>
      <c r="D8" t="s">
        <v>128</v>
      </c>
    </row>
    <row r="9" spans="1:6" x14ac:dyDescent="0.25">
      <c r="A9" t="s">
        <v>129</v>
      </c>
      <c r="B9" s="4" t="s">
        <v>130</v>
      </c>
      <c r="D9" t="s">
        <v>131</v>
      </c>
    </row>
    <row r="10" spans="1:6" x14ac:dyDescent="0.25">
      <c r="A10" t="s">
        <v>22</v>
      </c>
      <c r="B10" s="4" t="s">
        <v>132</v>
      </c>
      <c r="D10" t="s">
        <v>133</v>
      </c>
    </row>
    <row r="11" spans="1:6" x14ac:dyDescent="0.25">
      <c r="A11" t="s">
        <v>134</v>
      </c>
      <c r="B11" s="4" t="s">
        <v>135</v>
      </c>
      <c r="D11" t="s">
        <v>136</v>
      </c>
    </row>
    <row r="12" spans="1:6" x14ac:dyDescent="0.25">
      <c r="A12" t="s">
        <v>137</v>
      </c>
      <c r="B12" s="4" t="s">
        <v>138</v>
      </c>
      <c r="D12" t="s">
        <v>139</v>
      </c>
    </row>
    <row r="13" spans="1:6" x14ac:dyDescent="0.25">
      <c r="A13" t="s">
        <v>140</v>
      </c>
      <c r="B13" s="4" t="s">
        <v>141</v>
      </c>
      <c r="D13" t="s">
        <v>142</v>
      </c>
    </row>
    <row r="14" spans="1:6" x14ac:dyDescent="0.25">
      <c r="A14" t="s">
        <v>143</v>
      </c>
      <c r="B14" s="4" t="s">
        <v>144</v>
      </c>
      <c r="D14" t="s">
        <v>145</v>
      </c>
    </row>
    <row r="15" spans="1:6" x14ac:dyDescent="0.25">
      <c r="A15" t="s">
        <v>146</v>
      </c>
      <c r="B15" s="4" t="s">
        <v>147</v>
      </c>
      <c r="D15" t="s">
        <v>59</v>
      </c>
    </row>
    <row r="16" spans="1:6" x14ac:dyDescent="0.25">
      <c r="A16" t="s">
        <v>148</v>
      </c>
      <c r="B16" s="4" t="s">
        <v>149</v>
      </c>
      <c r="D16" t="s">
        <v>63</v>
      </c>
    </row>
    <row r="17" spans="1:4" x14ac:dyDescent="0.25">
      <c r="A17" t="s">
        <v>79</v>
      </c>
      <c r="B17" s="4" t="s">
        <v>150</v>
      </c>
      <c r="D17" t="s">
        <v>24</v>
      </c>
    </row>
    <row r="18" spans="1:4" x14ac:dyDescent="0.25">
      <c r="A18" t="s">
        <v>151</v>
      </c>
      <c r="B18" s="4" t="s">
        <v>152</v>
      </c>
      <c r="D18" t="s">
        <v>52</v>
      </c>
    </row>
    <row r="19" spans="1:4" x14ac:dyDescent="0.25">
      <c r="A19" t="s">
        <v>66</v>
      </c>
      <c r="B19" s="4" t="s">
        <v>153</v>
      </c>
    </row>
    <row r="20" spans="1:4" x14ac:dyDescent="0.25">
      <c r="A20" t="s">
        <v>103</v>
      </c>
      <c r="B20" s="4" t="s">
        <v>154</v>
      </c>
    </row>
    <row r="21" spans="1:4" x14ac:dyDescent="0.25">
      <c r="A21" t="s">
        <v>155</v>
      </c>
      <c r="B21" s="4" t="s">
        <v>156</v>
      </c>
    </row>
    <row r="22" spans="1:4" x14ac:dyDescent="0.25">
      <c r="A22" t="s">
        <v>157</v>
      </c>
      <c r="B22" s="4" t="s">
        <v>158</v>
      </c>
    </row>
    <row r="23" spans="1:4" x14ac:dyDescent="0.25">
      <c r="A23" t="s">
        <v>159</v>
      </c>
      <c r="B23" s="4" t="s">
        <v>160</v>
      </c>
    </row>
    <row r="24" spans="1:4" x14ac:dyDescent="0.25">
      <c r="A24" t="s">
        <v>161</v>
      </c>
      <c r="B24" s="4" t="s">
        <v>162</v>
      </c>
    </row>
    <row r="25" spans="1:4" x14ac:dyDescent="0.25">
      <c r="A25" t="s">
        <v>163</v>
      </c>
      <c r="B25" s="4" t="s">
        <v>164</v>
      </c>
    </row>
    <row r="26" spans="1:4" x14ac:dyDescent="0.25">
      <c r="A26" t="s">
        <v>165</v>
      </c>
      <c r="B26" s="4" t="s">
        <v>166</v>
      </c>
    </row>
    <row r="27" spans="1:4" x14ac:dyDescent="0.25">
      <c r="A27" t="s">
        <v>167</v>
      </c>
      <c r="B27" s="4" t="s">
        <v>168</v>
      </c>
    </row>
    <row r="28" spans="1:4" x14ac:dyDescent="0.25">
      <c r="A28" t="s">
        <v>43</v>
      </c>
      <c r="B28" s="4" t="s">
        <v>169</v>
      </c>
    </row>
    <row r="29" spans="1:4" x14ac:dyDescent="0.25">
      <c r="A29" t="s">
        <v>34</v>
      </c>
      <c r="B29" s="4" t="s">
        <v>170</v>
      </c>
    </row>
    <row r="30" spans="1:4" x14ac:dyDescent="0.25">
      <c r="A30" t="s">
        <v>171</v>
      </c>
      <c r="B30" s="4" t="s">
        <v>172</v>
      </c>
    </row>
    <row r="31" spans="1:4" x14ac:dyDescent="0.25">
      <c r="A31" t="s">
        <v>173</v>
      </c>
      <c r="B31" s="4" t="s">
        <v>174</v>
      </c>
    </row>
    <row r="32" spans="1:4" x14ac:dyDescent="0.25">
      <c r="A32" t="s">
        <v>175</v>
      </c>
      <c r="B32" s="4" t="s">
        <v>176</v>
      </c>
    </row>
    <row r="33" spans="1:2" x14ac:dyDescent="0.25">
      <c r="A33" t="s">
        <v>177</v>
      </c>
      <c r="B33" s="4" t="s">
        <v>178</v>
      </c>
    </row>
    <row r="34" spans="1:2" x14ac:dyDescent="0.25">
      <c r="A34" t="s">
        <v>27</v>
      </c>
    </row>
  </sheetData>
  <pageMargins left="0.7" right="0.7" top="0.75" bottom="0.75" header="0.3" footer="0.3"/>
  <pageSetup scale="4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7"/>
  <sheetViews>
    <sheetView workbookViewId="0">
      <selection activeCell="A5" sqref="A5:M62"/>
    </sheetView>
  </sheetViews>
  <sheetFormatPr defaultRowHeight="15" x14ac:dyDescent="0.25"/>
  <cols>
    <col min="2" max="2" width="12.28515625" customWidth="1"/>
    <col min="3" max="3" width="9.28515625" bestFit="1" customWidth="1"/>
    <col min="4" max="4" width="63" bestFit="1" customWidth="1"/>
    <col min="5" max="5" width="11.7109375" style="11" bestFit="1" customWidth="1"/>
    <col min="6" max="6" width="58" bestFit="1" customWidth="1"/>
    <col min="7" max="7" width="49.42578125" customWidth="1"/>
    <col min="8" max="8" width="12.7109375" bestFit="1" customWidth="1"/>
    <col min="9" max="9" width="8.140625" bestFit="1" customWidth="1"/>
    <col min="10" max="10" width="20" bestFit="1" customWidth="1"/>
    <col min="11" max="11" width="15.42578125" bestFit="1" customWidth="1"/>
    <col min="12" max="12" width="23.7109375" bestFit="1" customWidth="1"/>
    <col min="13" max="13" width="9.140625" style="38"/>
    <col min="14" max="14" width="41.85546875" customWidth="1"/>
    <col min="15" max="15" width="48.7109375" bestFit="1" customWidth="1"/>
  </cols>
  <sheetData>
    <row r="1" spans="1:15" ht="20.25" customHeight="1" x14ac:dyDescent="0.25">
      <c r="A1" s="3" t="s">
        <v>0</v>
      </c>
      <c r="B1" t="s">
        <v>1</v>
      </c>
    </row>
    <row r="2" spans="1:15" ht="27" customHeight="1" x14ac:dyDescent="0.25">
      <c r="A2" s="3" t="s">
        <v>2</v>
      </c>
      <c r="B2" s="7">
        <v>43873</v>
      </c>
    </row>
    <row r="3" spans="1:15" ht="24" customHeight="1" x14ac:dyDescent="0.25">
      <c r="A3" s="3" t="s">
        <v>3</v>
      </c>
      <c r="B3" s="6" t="s">
        <v>4</v>
      </c>
    </row>
    <row r="5" spans="1:15" ht="15.75" thickBot="1" x14ac:dyDescent="0.3">
      <c r="D5" s="3" t="s">
        <v>5</v>
      </c>
      <c r="G5" s="3" t="s">
        <v>5</v>
      </c>
    </row>
    <row r="6" spans="1:15" s="5" customFormat="1" ht="58.5" customHeight="1" x14ac:dyDescent="0.25">
      <c r="B6" s="46" t="s">
        <v>6</v>
      </c>
      <c r="C6" s="46" t="s">
        <v>7</v>
      </c>
      <c r="D6" s="48" t="s">
        <v>8</v>
      </c>
      <c r="E6" s="54" t="s">
        <v>9</v>
      </c>
      <c r="F6" s="52" t="s">
        <v>10</v>
      </c>
      <c r="G6" s="48" t="s">
        <v>11</v>
      </c>
      <c r="H6" s="50" t="s">
        <v>12</v>
      </c>
      <c r="I6" s="42" t="s">
        <v>13</v>
      </c>
      <c r="J6" s="42" t="s">
        <v>14</v>
      </c>
      <c r="K6" s="42" t="s">
        <v>15</v>
      </c>
      <c r="L6" s="44" t="s">
        <v>16</v>
      </c>
      <c r="M6" s="39" t="s">
        <v>181</v>
      </c>
      <c r="N6" s="19" t="s">
        <v>182</v>
      </c>
      <c r="O6" s="19" t="s">
        <v>183</v>
      </c>
    </row>
    <row r="7" spans="1:15" ht="15.75" thickBot="1" x14ac:dyDescent="0.3">
      <c r="A7" s="18"/>
      <c r="B7" s="47"/>
      <c r="C7" s="47"/>
      <c r="D7" s="49"/>
      <c r="E7" s="55"/>
      <c r="F7" s="53"/>
      <c r="G7" s="49"/>
      <c r="H7" s="51"/>
      <c r="I7" s="43"/>
      <c r="J7" s="43"/>
      <c r="K7" s="43"/>
      <c r="L7" s="45"/>
    </row>
    <row r="8" spans="1:15" ht="15.75" thickBot="1" x14ac:dyDescent="0.3">
      <c r="B8" s="1">
        <v>1</v>
      </c>
      <c r="C8" s="13"/>
      <c r="D8" s="2" t="s">
        <v>17</v>
      </c>
      <c r="E8" s="12" t="str">
        <f t="shared" ref="E8:E71" si="0">IF(ISNA(VLOOKUP(D8,TYW,2,FALSE)),"",VLOOKUP(D8,TYW,2,FALSE))</f>
        <v>17-06-04</v>
      </c>
      <c r="F8" s="2" t="s">
        <v>18</v>
      </c>
      <c r="G8" s="2" t="s">
        <v>19</v>
      </c>
      <c r="H8" s="2" t="s">
        <v>230</v>
      </c>
      <c r="I8" s="2">
        <v>12</v>
      </c>
      <c r="J8" s="2" t="s">
        <v>20</v>
      </c>
      <c r="K8" s="2">
        <f>I8*(0.1*0.6*1)</f>
        <v>0.72</v>
      </c>
      <c r="L8" s="2" t="s">
        <v>21</v>
      </c>
      <c r="M8" s="40">
        <f>K8/$K$62*100</f>
        <v>15.840760543427059</v>
      </c>
      <c r="N8" t="str">
        <f>D8</f>
        <v>Insulation</v>
      </c>
      <c r="O8" t="str">
        <f>G8</f>
        <v>Cutting waste</v>
      </c>
    </row>
    <row r="9" spans="1:15" s="17" customFormat="1" ht="15.75" thickBot="1" x14ac:dyDescent="0.3">
      <c r="B9" s="31">
        <v>2</v>
      </c>
      <c r="C9" s="32"/>
      <c r="D9" s="15" t="s">
        <v>22</v>
      </c>
      <c r="E9" s="33" t="str">
        <f t="shared" si="0"/>
        <v>17-02-03</v>
      </c>
      <c r="F9" s="15" t="s">
        <v>23</v>
      </c>
      <c r="G9" s="15" t="s">
        <v>24</v>
      </c>
      <c r="H9" s="15" t="s">
        <v>230</v>
      </c>
      <c r="I9" s="15">
        <v>3</v>
      </c>
      <c r="J9" s="15" t="s">
        <v>25</v>
      </c>
      <c r="K9" s="15">
        <f>I9*(0.4*0.35*0.1)</f>
        <v>4.1999999999999996E-2</v>
      </c>
      <c r="L9" s="15" t="s">
        <v>26</v>
      </c>
      <c r="M9" s="40">
        <f t="shared" ref="M9:M61" si="1">K9/$K$62*100</f>
        <v>0.92404436503324505</v>
      </c>
      <c r="N9" s="17" t="str">
        <f t="shared" ref="N9:N48" si="2">D9</f>
        <v>Plastic - excludes packaging waste</v>
      </c>
      <c r="O9" s="17" t="str">
        <f t="shared" ref="O9:O61" si="3">G9</f>
        <v>Not recovered by supplier (packaging)</v>
      </c>
    </row>
    <row r="10" spans="1:15" s="17" customFormat="1" ht="15.75" thickBot="1" x14ac:dyDescent="0.3">
      <c r="B10" s="31">
        <v>3</v>
      </c>
      <c r="C10" s="32"/>
      <c r="D10" s="15" t="s">
        <v>27</v>
      </c>
      <c r="E10" s="33">
        <f t="shared" si="0"/>
        <v>0</v>
      </c>
      <c r="F10" s="15" t="s">
        <v>28</v>
      </c>
      <c r="G10" s="15"/>
      <c r="H10" s="34" t="s">
        <v>229</v>
      </c>
      <c r="I10" s="15">
        <v>1</v>
      </c>
      <c r="J10" s="15" t="s">
        <v>29</v>
      </c>
      <c r="K10" s="15">
        <f>I10*0.018</f>
        <v>1.7999999999999999E-2</v>
      </c>
      <c r="L10" s="15" t="s">
        <v>30</v>
      </c>
      <c r="M10" s="40">
        <f t="shared" si="1"/>
        <v>0.39601901358567648</v>
      </c>
      <c r="N10" s="17" t="s">
        <v>184</v>
      </c>
      <c r="O10" s="17" t="s">
        <v>185</v>
      </c>
    </row>
    <row r="11" spans="1:15" s="17" customFormat="1" ht="15.75" thickBot="1" x14ac:dyDescent="0.3">
      <c r="A11" s="17">
        <v>1</v>
      </c>
      <c r="B11" s="31">
        <v>4</v>
      </c>
      <c r="C11" s="32"/>
      <c r="D11" s="15" t="s">
        <v>31</v>
      </c>
      <c r="E11" s="33" t="str">
        <f t="shared" si="0"/>
        <v>17-02-01</v>
      </c>
      <c r="F11" s="15" t="s">
        <v>32</v>
      </c>
      <c r="G11" s="15" t="s">
        <v>19</v>
      </c>
      <c r="H11" s="15" t="s">
        <v>230</v>
      </c>
      <c r="I11" s="15">
        <v>10</v>
      </c>
      <c r="J11" s="15" t="s">
        <v>33</v>
      </c>
      <c r="K11" s="15">
        <f>I11*(0.025*0.025*0.35)</f>
        <v>2.1875000000000002E-3</v>
      </c>
      <c r="L11" s="15" t="s">
        <v>26</v>
      </c>
      <c r="M11" s="40">
        <f t="shared" si="1"/>
        <v>4.8127310678814851E-2</v>
      </c>
      <c r="N11" s="17" t="str">
        <f t="shared" si="2"/>
        <v>Wood - untreated</v>
      </c>
      <c r="O11" s="17" t="str">
        <f t="shared" si="3"/>
        <v>Cutting waste</v>
      </c>
    </row>
    <row r="12" spans="1:15" s="17" customFormat="1" ht="15.75" thickBot="1" x14ac:dyDescent="0.3">
      <c r="B12" s="31">
        <v>5</v>
      </c>
      <c r="C12" s="32"/>
      <c r="D12" s="15" t="s">
        <v>34</v>
      </c>
      <c r="E12" s="33" t="str">
        <f t="shared" si="0"/>
        <v>15-01-02</v>
      </c>
      <c r="F12" s="15" t="s">
        <v>35</v>
      </c>
      <c r="G12" s="15" t="s">
        <v>24</v>
      </c>
      <c r="H12" s="15" t="s">
        <v>230</v>
      </c>
      <c r="I12" s="15">
        <v>8</v>
      </c>
      <c r="J12" s="15" t="s">
        <v>36</v>
      </c>
      <c r="K12" s="15">
        <f>I12*0.01</f>
        <v>0.08</v>
      </c>
      <c r="L12" s="15" t="s">
        <v>21</v>
      </c>
      <c r="M12" s="40">
        <f t="shared" si="1"/>
        <v>1.7600845048252287</v>
      </c>
      <c r="N12" s="17" t="str">
        <f t="shared" si="2"/>
        <v>Packaging: Plastic</v>
      </c>
      <c r="O12" s="17" t="str">
        <f t="shared" si="3"/>
        <v>Not recovered by supplier (packaging)</v>
      </c>
    </row>
    <row r="13" spans="1:15" s="17" customFormat="1" ht="15.75" thickBot="1" x14ac:dyDescent="0.3">
      <c r="B13" s="31">
        <v>6</v>
      </c>
      <c r="C13" s="32"/>
      <c r="D13" s="15" t="s">
        <v>34</v>
      </c>
      <c r="E13" s="33" t="str">
        <f t="shared" si="0"/>
        <v>15-01-02</v>
      </c>
      <c r="F13" s="15" t="s">
        <v>37</v>
      </c>
      <c r="G13" s="15" t="s">
        <v>24</v>
      </c>
      <c r="H13" s="15" t="s">
        <v>230</v>
      </c>
      <c r="I13" s="15">
        <v>1</v>
      </c>
      <c r="J13" s="15" t="s">
        <v>38</v>
      </c>
      <c r="K13" s="15">
        <f>I13*(0.9*1.5*0.1)</f>
        <v>0.13500000000000001</v>
      </c>
      <c r="L13" s="15" t="s">
        <v>26</v>
      </c>
      <c r="M13" s="40">
        <f t="shared" si="1"/>
        <v>2.9701426018925741</v>
      </c>
      <c r="N13" s="17" t="str">
        <f t="shared" si="2"/>
        <v>Packaging: Plastic</v>
      </c>
      <c r="O13" s="17" t="str">
        <f t="shared" si="3"/>
        <v>Not recovered by supplier (packaging)</v>
      </c>
    </row>
    <row r="14" spans="1:15" s="17" customFormat="1" ht="15.75" thickBot="1" x14ac:dyDescent="0.3">
      <c r="A14" s="35"/>
      <c r="B14" s="31">
        <v>7</v>
      </c>
      <c r="C14" s="32"/>
      <c r="D14" s="15" t="s">
        <v>34</v>
      </c>
      <c r="E14" s="33" t="str">
        <f t="shared" si="0"/>
        <v>15-01-02</v>
      </c>
      <c r="F14" s="15" t="s">
        <v>39</v>
      </c>
      <c r="G14" s="15" t="s">
        <v>24</v>
      </c>
      <c r="H14" s="15" t="s">
        <v>230</v>
      </c>
      <c r="I14" s="15">
        <v>3</v>
      </c>
      <c r="J14" s="15" t="s">
        <v>40</v>
      </c>
      <c r="K14" s="15">
        <f>I14*(0.5*0.4*0.01)</f>
        <v>6.0000000000000001E-3</v>
      </c>
      <c r="L14" s="15" t="s">
        <v>26</v>
      </c>
      <c r="M14" s="40">
        <f t="shared" si="1"/>
        <v>0.13200633786189217</v>
      </c>
      <c r="N14" s="17" t="str">
        <f t="shared" si="2"/>
        <v>Packaging: Plastic</v>
      </c>
      <c r="O14" s="17" t="str">
        <f t="shared" si="3"/>
        <v>Not recovered by supplier (packaging)</v>
      </c>
    </row>
    <row r="15" spans="1:15" s="17" customFormat="1" ht="15.75" thickBot="1" x14ac:dyDescent="0.3">
      <c r="B15" s="31">
        <v>8</v>
      </c>
      <c r="C15" s="32"/>
      <c r="D15" s="15" t="s">
        <v>22</v>
      </c>
      <c r="E15" s="33" t="str">
        <f t="shared" si="0"/>
        <v>17-02-03</v>
      </c>
      <c r="F15" s="15" t="s">
        <v>23</v>
      </c>
      <c r="G15" s="15" t="s">
        <v>24</v>
      </c>
      <c r="H15" s="15" t="s">
        <v>228</v>
      </c>
      <c r="I15" s="15">
        <v>7</v>
      </c>
      <c r="J15" s="15" t="s">
        <v>25</v>
      </c>
      <c r="K15" s="15">
        <f>I15*(0.4*0.35*0.1)</f>
        <v>9.799999999999999E-2</v>
      </c>
      <c r="L15" s="15" t="s">
        <v>26</v>
      </c>
      <c r="M15" s="40">
        <f t="shared" si="1"/>
        <v>2.1561035184109052</v>
      </c>
      <c r="N15" s="17" t="str">
        <f t="shared" si="2"/>
        <v>Plastic - excludes packaging waste</v>
      </c>
      <c r="O15" s="17" t="str">
        <f t="shared" si="3"/>
        <v>Not recovered by supplier (packaging)</v>
      </c>
    </row>
    <row r="16" spans="1:15" s="17" customFormat="1" ht="15.75" thickBot="1" x14ac:dyDescent="0.3">
      <c r="B16" s="31">
        <v>9</v>
      </c>
      <c r="C16" s="32"/>
      <c r="D16" s="15" t="s">
        <v>22</v>
      </c>
      <c r="E16" s="33" t="str">
        <f t="shared" si="0"/>
        <v>17-02-03</v>
      </c>
      <c r="F16" s="15" t="s">
        <v>41</v>
      </c>
      <c r="G16" s="15" t="s">
        <v>19</v>
      </c>
      <c r="H16" s="15" t="s">
        <v>228</v>
      </c>
      <c r="I16" s="15">
        <v>1</v>
      </c>
      <c r="J16" s="15" t="s">
        <v>42</v>
      </c>
      <c r="K16" s="15">
        <f>I16*(0.012*0.01*3)</f>
        <v>3.6000000000000002E-4</v>
      </c>
      <c r="L16" s="15" t="s">
        <v>21</v>
      </c>
      <c r="M16" s="40">
        <f t="shared" si="1"/>
        <v>7.9203802717135296E-3</v>
      </c>
      <c r="N16" s="17" t="str">
        <f t="shared" si="2"/>
        <v>Plastic - excludes packaging waste</v>
      </c>
      <c r="O16" s="17" t="str">
        <f t="shared" si="3"/>
        <v>Cutting waste</v>
      </c>
    </row>
    <row r="17" spans="1:15" s="17" customFormat="1" ht="15.75" thickBot="1" x14ac:dyDescent="0.3">
      <c r="B17" s="31">
        <v>10</v>
      </c>
      <c r="C17" s="32"/>
      <c r="D17" s="15" t="s">
        <v>43</v>
      </c>
      <c r="E17" s="33" t="str">
        <f t="shared" si="0"/>
        <v>15-01-01</v>
      </c>
      <c r="F17" s="15" t="s">
        <v>44</v>
      </c>
      <c r="G17" s="15" t="s">
        <v>24</v>
      </c>
      <c r="H17" s="15" t="s">
        <v>228</v>
      </c>
      <c r="I17" s="15">
        <v>1</v>
      </c>
      <c r="J17" s="15" t="s">
        <v>45</v>
      </c>
      <c r="K17" s="15">
        <f>I17*(1*1*0.5)</f>
        <v>0.5</v>
      </c>
      <c r="L17" s="15" t="s">
        <v>26</v>
      </c>
      <c r="M17" s="40">
        <f t="shared" si="1"/>
        <v>11.00052815515768</v>
      </c>
      <c r="N17" s="17" t="str">
        <f t="shared" si="2"/>
        <v>Packaging: Paper/Card</v>
      </c>
      <c r="O17" s="17" t="str">
        <f t="shared" si="3"/>
        <v>Not recovered by supplier (packaging)</v>
      </c>
    </row>
    <row r="18" spans="1:15" ht="15.75" thickBot="1" x14ac:dyDescent="0.3">
      <c r="B18" s="1">
        <v>11</v>
      </c>
      <c r="C18" s="10"/>
      <c r="D18" s="9" t="s">
        <v>46</v>
      </c>
      <c r="E18" s="12" t="str">
        <f t="shared" si="0"/>
        <v>17-02-04</v>
      </c>
      <c r="F18" s="2" t="s">
        <v>47</v>
      </c>
      <c r="G18" s="2" t="s">
        <v>19</v>
      </c>
      <c r="H18" s="2" t="s">
        <v>228</v>
      </c>
      <c r="I18" s="2">
        <v>1</v>
      </c>
      <c r="J18" s="2" t="s">
        <v>48</v>
      </c>
      <c r="K18" s="2">
        <f>I18*(0.6*0.9*0.012)</f>
        <v>6.4800000000000005E-3</v>
      </c>
      <c r="L18" s="2" t="s">
        <v>49</v>
      </c>
      <c r="M18" s="40">
        <f t="shared" si="1"/>
        <v>0.14256684489084354</v>
      </c>
      <c r="N18" t="str">
        <f t="shared" si="2"/>
        <v>Treated wood/glass/plastic (including wood/plastic window frames)</v>
      </c>
      <c r="O18" t="str">
        <f t="shared" si="3"/>
        <v>Cutting waste</v>
      </c>
    </row>
    <row r="19" spans="1:15" ht="15.75" thickBot="1" x14ac:dyDescent="0.3">
      <c r="A19">
        <v>2</v>
      </c>
      <c r="B19" s="1">
        <v>12</v>
      </c>
      <c r="C19" s="9"/>
      <c r="D19" s="9" t="s">
        <v>31</v>
      </c>
      <c r="E19" s="12" t="str">
        <f t="shared" si="0"/>
        <v>17-02-01</v>
      </c>
      <c r="F19" s="2" t="s">
        <v>32</v>
      </c>
      <c r="G19" s="2" t="s">
        <v>19</v>
      </c>
      <c r="H19" s="2" t="s">
        <v>228</v>
      </c>
      <c r="I19" s="2">
        <v>6</v>
      </c>
      <c r="J19" s="2" t="s">
        <v>50</v>
      </c>
      <c r="K19" s="2">
        <f>I19*(0.025*0.025*0.4)</f>
        <v>1.5000000000000005E-3</v>
      </c>
      <c r="L19" s="2" t="s">
        <v>26</v>
      </c>
      <c r="M19" s="40">
        <f t="shared" si="1"/>
        <v>3.3001584465473049E-2</v>
      </c>
      <c r="N19" t="str">
        <f t="shared" si="2"/>
        <v>Wood - untreated</v>
      </c>
      <c r="O19" t="str">
        <f t="shared" si="3"/>
        <v>Cutting waste</v>
      </c>
    </row>
    <row r="20" spans="1:15" ht="15.75" thickBot="1" x14ac:dyDescent="0.3">
      <c r="B20" s="1">
        <v>13</v>
      </c>
      <c r="C20" s="10"/>
      <c r="D20" s="9" t="s">
        <v>27</v>
      </c>
      <c r="E20" s="12">
        <f t="shared" si="0"/>
        <v>0</v>
      </c>
      <c r="F20" s="15" t="s">
        <v>51</v>
      </c>
      <c r="G20" s="2" t="s">
        <v>52</v>
      </c>
      <c r="H20" s="2" t="s">
        <v>228</v>
      </c>
      <c r="I20" s="2">
        <v>1</v>
      </c>
      <c r="J20" s="2"/>
      <c r="K20" s="2">
        <f>I20*(0.3*0.3*0.15)</f>
        <v>1.35E-2</v>
      </c>
      <c r="L20" s="2" t="s">
        <v>21</v>
      </c>
      <c r="M20" s="40">
        <f t="shared" si="1"/>
        <v>0.29701426018925736</v>
      </c>
      <c r="N20" t="s">
        <v>27</v>
      </c>
      <c r="O20" t="s">
        <v>185</v>
      </c>
    </row>
    <row r="21" spans="1:15" ht="15.75" thickBot="1" x14ac:dyDescent="0.3">
      <c r="B21" s="1">
        <v>14</v>
      </c>
      <c r="C21" s="10"/>
      <c r="D21" s="9" t="s">
        <v>22</v>
      </c>
      <c r="E21" s="12" t="str">
        <f t="shared" si="0"/>
        <v>17-02-03</v>
      </c>
      <c r="F21" s="2" t="s">
        <v>205</v>
      </c>
      <c r="G21" s="2" t="s">
        <v>19</v>
      </c>
      <c r="H21" s="2" t="s">
        <v>228</v>
      </c>
      <c r="I21" s="2">
        <v>1</v>
      </c>
      <c r="J21" s="2" t="s">
        <v>204</v>
      </c>
      <c r="K21" s="2">
        <f>I21*(0.08*0.07*3)</f>
        <v>1.6800000000000002E-2</v>
      </c>
      <c r="L21" s="2" t="s">
        <v>26</v>
      </c>
      <c r="M21" s="40">
        <f t="shared" si="1"/>
        <v>0.36961774601329811</v>
      </c>
      <c r="N21" t="str">
        <f t="shared" si="2"/>
        <v>Plastic - excludes packaging waste</v>
      </c>
      <c r="O21" t="str">
        <f t="shared" si="3"/>
        <v>Cutting waste</v>
      </c>
    </row>
    <row r="22" spans="1:15" ht="15.75" thickBot="1" x14ac:dyDescent="0.3">
      <c r="B22" s="1">
        <v>15</v>
      </c>
      <c r="C22" s="10"/>
      <c r="D22" s="9" t="s">
        <v>22</v>
      </c>
      <c r="E22" s="12" t="str">
        <f t="shared" si="0"/>
        <v>17-02-03</v>
      </c>
      <c r="F22" s="15" t="s">
        <v>55</v>
      </c>
      <c r="G22" s="2" t="s">
        <v>52</v>
      </c>
      <c r="H22" s="2" t="s">
        <v>228</v>
      </c>
      <c r="I22" s="2">
        <v>1</v>
      </c>
      <c r="J22" s="2" t="s">
        <v>56</v>
      </c>
      <c r="K22" s="2">
        <f>I22*(0.8*1.4*0.01)</f>
        <v>1.12E-2</v>
      </c>
      <c r="L22" s="2" t="s">
        <v>21</v>
      </c>
      <c r="M22" s="40">
        <f t="shared" si="1"/>
        <v>0.24641183067553202</v>
      </c>
      <c r="N22" t="str">
        <f t="shared" si="2"/>
        <v>Plastic - excludes packaging waste</v>
      </c>
      <c r="O22" t="s">
        <v>185</v>
      </c>
    </row>
    <row r="23" spans="1:15" ht="15.75" thickBot="1" x14ac:dyDescent="0.3">
      <c r="A23" s="18"/>
      <c r="B23" s="1">
        <v>16</v>
      </c>
      <c r="C23" s="10"/>
      <c r="D23" s="9" t="s">
        <v>27</v>
      </c>
      <c r="E23" s="12">
        <f t="shared" si="0"/>
        <v>0</v>
      </c>
      <c r="F23" s="2" t="s">
        <v>57</v>
      </c>
      <c r="G23" s="2"/>
      <c r="H23" s="2" t="s">
        <v>228</v>
      </c>
      <c r="I23" s="2">
        <v>1</v>
      </c>
      <c r="J23" s="2" t="s">
        <v>58</v>
      </c>
      <c r="K23" s="2">
        <f>I23*(1*1*0.01)</f>
        <v>0.01</v>
      </c>
      <c r="L23" s="2" t="s">
        <v>49</v>
      </c>
      <c r="M23" s="40">
        <f t="shared" si="1"/>
        <v>0.22001056310315359</v>
      </c>
      <c r="N23" t="s">
        <v>27</v>
      </c>
      <c r="O23" t="s">
        <v>81</v>
      </c>
    </row>
    <row r="24" spans="1:15" ht="15.75" thickBot="1" x14ac:dyDescent="0.3">
      <c r="B24" s="1">
        <v>17</v>
      </c>
      <c r="C24" s="13"/>
      <c r="D24" s="9" t="s">
        <v>31</v>
      </c>
      <c r="E24" s="12" t="str">
        <f t="shared" si="0"/>
        <v>17-02-01</v>
      </c>
      <c r="F24" s="2" t="s">
        <v>32</v>
      </c>
      <c r="G24" s="2" t="s">
        <v>59</v>
      </c>
      <c r="H24" s="28" t="s">
        <v>228</v>
      </c>
      <c r="I24" s="2">
        <v>3</v>
      </c>
      <c r="J24" s="2" t="s">
        <v>60</v>
      </c>
      <c r="K24" s="2">
        <f>I24*(0.08*0.08*1.2)</f>
        <v>2.3040000000000001E-2</v>
      </c>
      <c r="L24" s="2" t="s">
        <v>26</v>
      </c>
      <c r="M24" s="40">
        <f t="shared" si="1"/>
        <v>0.50690433738966589</v>
      </c>
      <c r="N24" t="str">
        <f t="shared" si="2"/>
        <v>Wood - untreated</v>
      </c>
      <c r="O24" s="16" t="str">
        <f t="shared" si="3"/>
        <v>Waste caused by other trades (if unprotected)</v>
      </c>
    </row>
    <row r="25" spans="1:15" ht="15.75" thickBot="1" x14ac:dyDescent="0.3">
      <c r="B25" s="1">
        <v>18</v>
      </c>
      <c r="C25" s="13"/>
      <c r="D25" s="9" t="s">
        <v>17</v>
      </c>
      <c r="E25" s="12" t="str">
        <f t="shared" si="0"/>
        <v>17-06-04</v>
      </c>
      <c r="F25" s="2" t="s">
        <v>18</v>
      </c>
      <c r="G25" s="2" t="s">
        <v>19</v>
      </c>
      <c r="H25" s="28" t="s">
        <v>228</v>
      </c>
      <c r="I25" s="2">
        <v>1</v>
      </c>
      <c r="J25" s="2" t="s">
        <v>61</v>
      </c>
      <c r="K25" s="2">
        <f>I25*(0.9*0.9*0.1)</f>
        <v>8.1000000000000016E-2</v>
      </c>
      <c r="L25" s="2" t="s">
        <v>21</v>
      </c>
      <c r="M25" s="40">
        <f t="shared" si="1"/>
        <v>1.7820855611355446</v>
      </c>
      <c r="N25" t="str">
        <f t="shared" si="2"/>
        <v>Insulation</v>
      </c>
      <c r="O25" t="str">
        <f t="shared" si="3"/>
        <v>Cutting waste</v>
      </c>
    </row>
    <row r="26" spans="1:15" ht="15.75" thickBot="1" x14ac:dyDescent="0.3">
      <c r="B26" s="1">
        <v>19</v>
      </c>
      <c r="C26" s="13"/>
      <c r="D26" s="9" t="s">
        <v>22</v>
      </c>
      <c r="E26" s="12" t="str">
        <f t="shared" si="0"/>
        <v>17-02-03</v>
      </c>
      <c r="F26" s="2" t="s">
        <v>62</v>
      </c>
      <c r="G26" s="2" t="s">
        <v>63</v>
      </c>
      <c r="H26" s="28" t="s">
        <v>228</v>
      </c>
      <c r="I26" s="2">
        <v>2</v>
      </c>
      <c r="J26" s="2">
        <v>250</v>
      </c>
      <c r="K26" s="2">
        <f>500*(0.1*0.08*0.02)</f>
        <v>0.08</v>
      </c>
      <c r="L26" s="2" t="s">
        <v>64</v>
      </c>
      <c r="M26" s="40">
        <f t="shared" si="1"/>
        <v>1.7600845048252287</v>
      </c>
      <c r="N26" t="str">
        <f t="shared" si="2"/>
        <v>Plastic - excludes packaging waste</v>
      </c>
      <c r="O26" s="16" t="str">
        <f t="shared" si="3"/>
        <v>Wrongly specified</v>
      </c>
    </row>
    <row r="27" spans="1:15" ht="15.75" thickBot="1" x14ac:dyDescent="0.3">
      <c r="A27">
        <v>3</v>
      </c>
      <c r="B27" s="1">
        <v>20</v>
      </c>
      <c r="C27" s="13"/>
      <c r="D27" s="9" t="s">
        <v>31</v>
      </c>
      <c r="E27" s="12" t="str">
        <f t="shared" si="0"/>
        <v>17-02-01</v>
      </c>
      <c r="F27" s="2" t="s">
        <v>32</v>
      </c>
      <c r="G27" s="2" t="s">
        <v>19</v>
      </c>
      <c r="H27" s="28" t="s">
        <v>228</v>
      </c>
      <c r="I27" s="2">
        <v>10</v>
      </c>
      <c r="J27" s="2" t="s">
        <v>65</v>
      </c>
      <c r="K27" s="2">
        <f>I27*(0.05*0.05*0.6)</f>
        <v>1.5000000000000003E-2</v>
      </c>
      <c r="L27" s="2" t="s">
        <v>26</v>
      </c>
      <c r="M27" s="40">
        <f t="shared" si="1"/>
        <v>0.33001584465473044</v>
      </c>
      <c r="N27" t="str">
        <f t="shared" si="2"/>
        <v>Wood - untreated</v>
      </c>
      <c r="O27" t="str">
        <f t="shared" si="3"/>
        <v>Cutting waste</v>
      </c>
    </row>
    <row r="28" spans="1:15" ht="15.75" thickBot="1" x14ac:dyDescent="0.3">
      <c r="B28" s="1">
        <v>21</v>
      </c>
      <c r="C28" s="13"/>
      <c r="D28" s="9" t="s">
        <v>66</v>
      </c>
      <c r="E28" s="12" t="str">
        <f t="shared" si="0"/>
        <v>17-04-07</v>
      </c>
      <c r="F28" s="2" t="s">
        <v>67</v>
      </c>
      <c r="G28" s="2" t="s">
        <v>63</v>
      </c>
      <c r="H28" s="28" t="s">
        <v>228</v>
      </c>
      <c r="I28" s="2">
        <v>15</v>
      </c>
      <c r="J28" s="2"/>
      <c r="K28" s="2">
        <f>I28*(0.05*0.05*0.05)</f>
        <v>1.8750000000000004E-3</v>
      </c>
      <c r="L28" s="2" t="s">
        <v>64</v>
      </c>
      <c r="M28" s="40">
        <f t="shared" si="1"/>
        <v>4.1251980581841305E-2</v>
      </c>
      <c r="N28" t="str">
        <f t="shared" si="2"/>
        <v>Mixed metals</v>
      </c>
      <c r="O28" s="16" t="str">
        <f t="shared" si="3"/>
        <v>Wrongly specified</v>
      </c>
    </row>
    <row r="29" spans="1:15" ht="15.75" thickBot="1" x14ac:dyDescent="0.3">
      <c r="B29" s="1">
        <v>22</v>
      </c>
      <c r="C29" s="13"/>
      <c r="D29" s="9" t="s">
        <v>68</v>
      </c>
      <c r="E29" s="12" t="str">
        <f t="shared" si="0"/>
        <v>17-01-02</v>
      </c>
      <c r="F29" s="2" t="s">
        <v>69</v>
      </c>
      <c r="G29" s="2" t="s">
        <v>19</v>
      </c>
      <c r="H29" s="28" t="s">
        <v>228</v>
      </c>
      <c r="I29" s="2">
        <v>2</v>
      </c>
      <c r="J29" s="2"/>
      <c r="K29" s="2">
        <f>I29*(0.225*0.112*0.075)</f>
        <v>3.7799999999999999E-3</v>
      </c>
      <c r="L29" s="2" t="s">
        <v>21</v>
      </c>
      <c r="M29" s="40">
        <f t="shared" si="1"/>
        <v>8.3163992852992058E-2</v>
      </c>
      <c r="N29" t="str">
        <f t="shared" si="2"/>
        <v>Bricks</v>
      </c>
      <c r="O29" t="str">
        <f t="shared" si="3"/>
        <v>Cutting waste</v>
      </c>
    </row>
    <row r="30" spans="1:15" s="17" customFormat="1" ht="15.75" thickBot="1" x14ac:dyDescent="0.3">
      <c r="B30" s="31">
        <v>23</v>
      </c>
      <c r="C30" s="32"/>
      <c r="D30" s="15" t="s">
        <v>34</v>
      </c>
      <c r="E30" s="33" t="str">
        <f t="shared" si="0"/>
        <v>15-01-02</v>
      </c>
      <c r="F30" s="15" t="s">
        <v>37</v>
      </c>
      <c r="G30" s="15" t="s">
        <v>24</v>
      </c>
      <c r="H30" s="34" t="s">
        <v>228</v>
      </c>
      <c r="I30" s="15">
        <v>1</v>
      </c>
      <c r="J30" s="15"/>
      <c r="K30" s="15">
        <f>I30*(0.9*1.5*0.1)</f>
        <v>0.13500000000000001</v>
      </c>
      <c r="L30" s="15" t="s">
        <v>26</v>
      </c>
      <c r="M30" s="40">
        <f t="shared" si="1"/>
        <v>2.9701426018925741</v>
      </c>
      <c r="N30" s="17" t="str">
        <f t="shared" si="2"/>
        <v>Packaging: Plastic</v>
      </c>
      <c r="O30" s="17" t="str">
        <f t="shared" si="3"/>
        <v>Not recovered by supplier (packaging)</v>
      </c>
    </row>
    <row r="31" spans="1:15" ht="15.75" thickBot="1" x14ac:dyDescent="0.3">
      <c r="A31" s="18"/>
      <c r="B31" s="1">
        <v>24</v>
      </c>
      <c r="C31" s="13"/>
      <c r="D31" s="9" t="s">
        <v>27</v>
      </c>
      <c r="E31" s="12">
        <f t="shared" si="0"/>
        <v>0</v>
      </c>
      <c r="F31" s="2" t="s">
        <v>28</v>
      </c>
      <c r="G31" s="2"/>
      <c r="H31" s="2" t="s">
        <v>228</v>
      </c>
      <c r="I31" s="2">
        <v>4</v>
      </c>
      <c r="J31" s="2" t="s">
        <v>29</v>
      </c>
      <c r="K31" s="2">
        <f>I31*(0.025*0.025*0.35)</f>
        <v>8.7500000000000013E-4</v>
      </c>
      <c r="L31" s="2" t="s">
        <v>30</v>
      </c>
      <c r="M31" s="40">
        <f t="shared" si="1"/>
        <v>1.9250924271525943E-2</v>
      </c>
      <c r="N31" t="s">
        <v>184</v>
      </c>
      <c r="O31" t="s">
        <v>185</v>
      </c>
    </row>
    <row r="32" spans="1:15" ht="15.75" thickBot="1" x14ac:dyDescent="0.3">
      <c r="B32" s="1">
        <v>25</v>
      </c>
      <c r="C32" s="2"/>
      <c r="D32" s="9" t="s">
        <v>31</v>
      </c>
      <c r="E32" s="12" t="str">
        <f t="shared" si="0"/>
        <v>17-02-01</v>
      </c>
      <c r="F32" s="15" t="s">
        <v>70</v>
      </c>
      <c r="G32" s="2" t="s">
        <v>52</v>
      </c>
      <c r="H32" s="2" t="s">
        <v>229</v>
      </c>
      <c r="I32" s="2">
        <v>8</v>
      </c>
      <c r="J32" s="2" t="s">
        <v>60</v>
      </c>
      <c r="K32" s="2">
        <f>I32*(0.08*0.08*1.2)</f>
        <v>6.1440000000000002E-2</v>
      </c>
      <c r="L32" s="2" t="s">
        <v>71</v>
      </c>
      <c r="M32" s="40">
        <f t="shared" si="1"/>
        <v>1.3517448997057757</v>
      </c>
      <c r="N32" t="str">
        <f t="shared" si="2"/>
        <v>Wood - untreated</v>
      </c>
      <c r="O32" s="16" t="str">
        <f t="shared" si="3"/>
        <v>stripping off previous work</v>
      </c>
    </row>
    <row r="33" spans="1:15" ht="15.75" thickBot="1" x14ac:dyDescent="0.3">
      <c r="B33" s="1">
        <v>26</v>
      </c>
      <c r="C33" s="2"/>
      <c r="D33" s="9" t="s">
        <v>31</v>
      </c>
      <c r="E33" s="12" t="str">
        <f t="shared" si="0"/>
        <v>17-02-01</v>
      </c>
      <c r="F33" s="15" t="s">
        <v>72</v>
      </c>
      <c r="G33" s="2" t="s">
        <v>52</v>
      </c>
      <c r="H33" s="2" t="s">
        <v>229</v>
      </c>
      <c r="I33" s="2">
        <v>22</v>
      </c>
      <c r="J33" s="2" t="s">
        <v>73</v>
      </c>
      <c r="K33" s="2">
        <f>I33*(0.03*0.1*1.8)</f>
        <v>0.1188</v>
      </c>
      <c r="L33" s="2" t="s">
        <v>26</v>
      </c>
      <c r="M33" s="40">
        <f t="shared" si="1"/>
        <v>2.6137254896654647</v>
      </c>
      <c r="N33" t="str">
        <f>D33</f>
        <v>Wood - untreated</v>
      </c>
      <c r="O33" s="16" t="str">
        <f t="shared" si="3"/>
        <v>stripping off previous work</v>
      </c>
    </row>
    <row r="34" spans="1:15" ht="15.75" thickBot="1" x14ac:dyDescent="0.3">
      <c r="A34">
        <v>4</v>
      </c>
      <c r="B34" s="1">
        <v>27</v>
      </c>
      <c r="C34" s="2"/>
      <c r="D34" s="9" t="s">
        <v>22</v>
      </c>
      <c r="E34" s="12" t="str">
        <f t="shared" si="0"/>
        <v>17-02-03</v>
      </c>
      <c r="F34" s="15" t="s">
        <v>74</v>
      </c>
      <c r="G34" s="2" t="s">
        <v>52</v>
      </c>
      <c r="H34" s="2" t="s">
        <v>229</v>
      </c>
      <c r="I34" s="2">
        <v>1</v>
      </c>
      <c r="J34" s="2" t="s">
        <v>75</v>
      </c>
      <c r="K34" s="2">
        <f>I34*(1.3*15*0.01)</f>
        <v>0.19500000000000001</v>
      </c>
      <c r="L34" s="2" t="s">
        <v>21</v>
      </c>
      <c r="M34" s="40">
        <f t="shared" si="1"/>
        <v>4.2902059805114954</v>
      </c>
      <c r="N34" t="str">
        <f t="shared" si="2"/>
        <v>Plastic - excludes packaging waste</v>
      </c>
      <c r="O34" s="16" t="str">
        <f t="shared" si="3"/>
        <v>stripping off previous work</v>
      </c>
    </row>
    <row r="35" spans="1:15" ht="15.75" thickBot="1" x14ac:dyDescent="0.3">
      <c r="B35" s="1">
        <v>28</v>
      </c>
      <c r="C35" s="2"/>
      <c r="D35" s="2" t="s">
        <v>76</v>
      </c>
      <c r="E35" s="12" t="str">
        <f t="shared" si="0"/>
        <v>17-01-01</v>
      </c>
      <c r="F35" s="15" t="s">
        <v>180</v>
      </c>
      <c r="G35" s="2" t="s">
        <v>52</v>
      </c>
      <c r="H35" s="2" t="s">
        <v>229</v>
      </c>
      <c r="I35" s="2">
        <v>3</v>
      </c>
      <c r="J35" s="2" t="s">
        <v>25</v>
      </c>
      <c r="K35" s="2">
        <f>I35*(0.1*0.1*0.1)</f>
        <v>3.0000000000000009E-3</v>
      </c>
      <c r="L35" s="2" t="s">
        <v>21</v>
      </c>
      <c r="M35" s="40">
        <f t="shared" si="1"/>
        <v>6.6003168930946099E-2</v>
      </c>
      <c r="N35" t="str">
        <f t="shared" si="2"/>
        <v>Concrete</v>
      </c>
      <c r="O35" s="16" t="str">
        <f t="shared" si="3"/>
        <v>stripping off previous work</v>
      </c>
    </row>
    <row r="36" spans="1:15" s="17" customFormat="1" ht="15.75" thickBot="1" x14ac:dyDescent="0.3">
      <c r="A36" s="35"/>
      <c r="B36" s="31">
        <v>29</v>
      </c>
      <c r="C36" s="15"/>
      <c r="D36" s="15" t="s">
        <v>34</v>
      </c>
      <c r="E36" s="33" t="str">
        <f t="shared" si="0"/>
        <v>15-01-02</v>
      </c>
      <c r="F36" s="15" t="s">
        <v>39</v>
      </c>
      <c r="G36" s="15" t="s">
        <v>24</v>
      </c>
      <c r="H36" s="15" t="s">
        <v>229</v>
      </c>
      <c r="I36" s="15">
        <v>1</v>
      </c>
      <c r="J36" s="15" t="s">
        <v>78</v>
      </c>
      <c r="K36" s="15">
        <f>I36*(0.6*0.4*0.01)</f>
        <v>2.3999999999999998E-3</v>
      </c>
      <c r="L36" s="15" t="s">
        <v>21</v>
      </c>
      <c r="M36" s="40">
        <f t="shared" si="1"/>
        <v>5.2802535144756864E-2</v>
      </c>
      <c r="N36" s="17" t="str">
        <f t="shared" si="2"/>
        <v>Packaging: Plastic</v>
      </c>
      <c r="O36" s="17" t="str">
        <f t="shared" si="3"/>
        <v>Not recovered by supplier (packaging)</v>
      </c>
    </row>
    <row r="37" spans="1:15" ht="15.75" thickBot="1" x14ac:dyDescent="0.3">
      <c r="B37" s="1">
        <v>30</v>
      </c>
      <c r="C37" s="13"/>
      <c r="D37" s="2" t="s">
        <v>79</v>
      </c>
      <c r="E37" s="12" t="str">
        <f t="shared" si="0"/>
        <v>17-04-05</v>
      </c>
      <c r="F37" s="2" t="s">
        <v>80</v>
      </c>
      <c r="G37" s="2" t="s">
        <v>81</v>
      </c>
      <c r="H37" s="2" t="s">
        <v>229</v>
      </c>
      <c r="I37" s="2">
        <v>4</v>
      </c>
      <c r="J37" s="2"/>
      <c r="K37" s="2">
        <f>I37*(2.3*1.1*0.03)</f>
        <v>0.30359999999999998</v>
      </c>
      <c r="L37" s="2" t="s">
        <v>26</v>
      </c>
      <c r="M37" s="40">
        <f t="shared" si="1"/>
        <v>6.6795206958117426</v>
      </c>
      <c r="N37" t="str">
        <f t="shared" si="2"/>
        <v>Iron and steel</v>
      </c>
      <c r="O37" s="16" t="str">
        <f t="shared" si="3"/>
        <v>Damaged: Site storage and internal site transit waste</v>
      </c>
    </row>
    <row r="38" spans="1:15" ht="15.75" thickBot="1" x14ac:dyDescent="0.3">
      <c r="A38">
        <v>5</v>
      </c>
      <c r="B38" s="1">
        <v>31</v>
      </c>
      <c r="C38" s="13"/>
      <c r="D38" s="2" t="s">
        <v>22</v>
      </c>
      <c r="E38" s="12" t="str">
        <f t="shared" si="0"/>
        <v>17-02-03</v>
      </c>
      <c r="F38" s="2" t="s">
        <v>82</v>
      </c>
      <c r="G38" s="2" t="s">
        <v>81</v>
      </c>
      <c r="H38" s="2" t="s">
        <v>229</v>
      </c>
      <c r="I38" s="2">
        <v>2</v>
      </c>
      <c r="J38" s="2"/>
      <c r="K38" s="2">
        <f>I38*(2*1.13*0.05)</f>
        <v>0.22599999999999998</v>
      </c>
      <c r="L38" s="2" t="s">
        <v>26</v>
      </c>
      <c r="M38" s="40">
        <f t="shared" si="1"/>
        <v>4.9722387261312706</v>
      </c>
      <c r="N38" t="str">
        <f t="shared" si="2"/>
        <v>Plastic - excludes packaging waste</v>
      </c>
      <c r="O38" s="16" t="str">
        <f t="shared" si="3"/>
        <v>Damaged: Site storage and internal site transit waste</v>
      </c>
    </row>
    <row r="39" spans="1:15" ht="15.75" thickBot="1" x14ac:dyDescent="0.3">
      <c r="B39" s="1">
        <v>32</v>
      </c>
      <c r="C39" s="13"/>
      <c r="D39" s="2" t="s">
        <v>27</v>
      </c>
      <c r="E39" s="12">
        <f t="shared" si="0"/>
        <v>0</v>
      </c>
      <c r="F39" s="2" t="s">
        <v>28</v>
      </c>
      <c r="G39" s="2"/>
      <c r="H39" s="2" t="s">
        <v>229</v>
      </c>
      <c r="I39" s="2">
        <v>2</v>
      </c>
      <c r="J39" s="2" t="s">
        <v>29</v>
      </c>
      <c r="K39" s="2">
        <f>I39*(0.025*0.025*0.35)</f>
        <v>4.3750000000000006E-4</v>
      </c>
      <c r="L39" s="2" t="s">
        <v>30</v>
      </c>
      <c r="M39" s="40">
        <f t="shared" si="1"/>
        <v>9.6254621357629716E-3</v>
      </c>
      <c r="N39" t="s">
        <v>184</v>
      </c>
      <c r="O39" t="s">
        <v>185</v>
      </c>
    </row>
    <row r="40" spans="1:15" ht="15.75" thickBot="1" x14ac:dyDescent="0.3">
      <c r="A40" s="18"/>
      <c r="B40" s="1">
        <v>33</v>
      </c>
      <c r="C40" s="13"/>
      <c r="D40" s="2" t="s">
        <v>34</v>
      </c>
      <c r="E40" s="12" t="str">
        <f t="shared" si="0"/>
        <v>15-01-02</v>
      </c>
      <c r="F40" s="2" t="s">
        <v>83</v>
      </c>
      <c r="G40" s="2" t="s">
        <v>52</v>
      </c>
      <c r="H40" s="2" t="s">
        <v>229</v>
      </c>
      <c r="I40" s="2">
        <v>1</v>
      </c>
      <c r="J40" s="2" t="s">
        <v>84</v>
      </c>
      <c r="K40" s="2">
        <f>I40*(1.2*3*0.01)</f>
        <v>3.5999999999999997E-2</v>
      </c>
      <c r="L40" s="2" t="s">
        <v>26</v>
      </c>
      <c r="M40" s="40">
        <f t="shared" si="1"/>
        <v>0.79203802717135297</v>
      </c>
      <c r="N40" t="str">
        <f t="shared" si="2"/>
        <v>Packaging: Plastic</v>
      </c>
      <c r="O40" s="16" t="str">
        <f t="shared" si="3"/>
        <v>stripping off previous work</v>
      </c>
    </row>
    <row r="41" spans="1:15" ht="15.75" thickBot="1" x14ac:dyDescent="0.3">
      <c r="B41" s="1">
        <v>34</v>
      </c>
      <c r="C41" s="2"/>
      <c r="D41" s="2" t="s">
        <v>17</v>
      </c>
      <c r="E41" s="12" t="str">
        <f t="shared" si="0"/>
        <v>17-06-04</v>
      </c>
      <c r="F41" s="2" t="s">
        <v>18</v>
      </c>
      <c r="G41" s="2" t="s">
        <v>81</v>
      </c>
      <c r="H41" s="2" t="s">
        <v>230</v>
      </c>
      <c r="I41" s="2">
        <v>3</v>
      </c>
      <c r="J41" s="2" t="s">
        <v>85</v>
      </c>
      <c r="K41" s="2">
        <f>I41*(0.6*2.5*0.1)</f>
        <v>0.45000000000000007</v>
      </c>
      <c r="L41" s="2" t="s">
        <v>21</v>
      </c>
      <c r="M41" s="40">
        <f t="shared" si="1"/>
        <v>9.900475339641913</v>
      </c>
      <c r="N41" t="str">
        <f t="shared" si="2"/>
        <v>Insulation</v>
      </c>
      <c r="O41" s="16" t="str">
        <f t="shared" si="3"/>
        <v>Damaged: Site storage and internal site transit waste</v>
      </c>
    </row>
    <row r="42" spans="1:15" s="17" customFormat="1" ht="15.75" thickBot="1" x14ac:dyDescent="0.3">
      <c r="B42" s="31">
        <v>35</v>
      </c>
      <c r="C42" s="15"/>
      <c r="D42" s="15" t="s">
        <v>34</v>
      </c>
      <c r="E42" s="33" t="str">
        <f t="shared" si="0"/>
        <v>15-01-02</v>
      </c>
      <c r="F42" s="15" t="s">
        <v>86</v>
      </c>
      <c r="G42" s="15" t="s">
        <v>24</v>
      </c>
      <c r="H42" s="15" t="s">
        <v>230</v>
      </c>
      <c r="I42" s="15">
        <v>8</v>
      </c>
      <c r="J42" s="15"/>
      <c r="K42" s="15">
        <f>I42*0.01</f>
        <v>0.08</v>
      </c>
      <c r="L42" s="15" t="s">
        <v>26</v>
      </c>
      <c r="M42" s="40">
        <f t="shared" si="1"/>
        <v>1.7600845048252287</v>
      </c>
      <c r="N42" s="17" t="str">
        <f t="shared" si="2"/>
        <v>Packaging: Plastic</v>
      </c>
      <c r="O42" s="17" t="str">
        <f t="shared" si="3"/>
        <v>Not recovered by supplier (packaging)</v>
      </c>
    </row>
    <row r="43" spans="1:15" ht="15.75" thickBot="1" x14ac:dyDescent="0.3">
      <c r="B43" s="1">
        <v>36</v>
      </c>
      <c r="C43" s="2"/>
      <c r="D43" s="2" t="s">
        <v>46</v>
      </c>
      <c r="E43" s="12" t="str">
        <f t="shared" si="0"/>
        <v>17-02-04</v>
      </c>
      <c r="F43" s="2" t="s">
        <v>179</v>
      </c>
      <c r="G43" s="2" t="s">
        <v>19</v>
      </c>
      <c r="H43" s="2" t="s">
        <v>230</v>
      </c>
      <c r="I43" s="2">
        <v>2</v>
      </c>
      <c r="J43" s="2" t="s">
        <v>87</v>
      </c>
      <c r="K43" s="2">
        <f>I43*(0.6*2.1*0.012)</f>
        <v>3.024E-2</v>
      </c>
      <c r="L43" s="2" t="s">
        <v>26</v>
      </c>
      <c r="M43" s="40">
        <f t="shared" si="1"/>
        <v>0.66531194282393646</v>
      </c>
      <c r="N43" t="str">
        <f t="shared" si="2"/>
        <v>Treated wood/glass/plastic (including wood/plastic window frames)</v>
      </c>
      <c r="O43" t="str">
        <f t="shared" si="3"/>
        <v>Cutting waste</v>
      </c>
    </row>
    <row r="44" spans="1:15" ht="15.75" thickBot="1" x14ac:dyDescent="0.3">
      <c r="B44" s="1">
        <v>37</v>
      </c>
      <c r="C44" s="2"/>
      <c r="D44" s="2" t="s">
        <v>31</v>
      </c>
      <c r="E44" s="12" t="str">
        <f t="shared" si="0"/>
        <v>17-02-01</v>
      </c>
      <c r="F44" s="2" t="s">
        <v>32</v>
      </c>
      <c r="G44" s="2" t="s">
        <v>19</v>
      </c>
      <c r="H44" s="2" t="s">
        <v>230</v>
      </c>
      <c r="I44" s="2">
        <v>3</v>
      </c>
      <c r="J44" s="2" t="s">
        <v>88</v>
      </c>
      <c r="K44" s="2">
        <f>I44*(0.04*0.1*0.6)</f>
        <v>7.1999999999999998E-3</v>
      </c>
      <c r="L44" s="2" t="s">
        <v>26</v>
      </c>
      <c r="M44" s="40">
        <f t="shared" si="1"/>
        <v>0.1584076054342706</v>
      </c>
      <c r="N44" t="str">
        <f t="shared" si="2"/>
        <v>Wood - untreated</v>
      </c>
      <c r="O44" t="str">
        <f t="shared" si="3"/>
        <v>Cutting waste</v>
      </c>
    </row>
    <row r="45" spans="1:15" ht="15.75" thickBot="1" x14ac:dyDescent="0.3">
      <c r="A45">
        <v>6</v>
      </c>
      <c r="B45" s="1">
        <v>38</v>
      </c>
      <c r="C45" s="2"/>
      <c r="D45" s="2" t="s">
        <v>22</v>
      </c>
      <c r="E45" s="12" t="str">
        <f t="shared" si="0"/>
        <v>17-02-03</v>
      </c>
      <c r="F45" s="2" t="s">
        <v>89</v>
      </c>
      <c r="G45" s="2" t="s">
        <v>24</v>
      </c>
      <c r="H45" s="2" t="s">
        <v>230</v>
      </c>
      <c r="I45" s="2">
        <v>1</v>
      </c>
      <c r="J45" s="2"/>
      <c r="K45" s="2">
        <f>I45*0.01</f>
        <v>0.01</v>
      </c>
      <c r="L45" s="2" t="s">
        <v>21</v>
      </c>
      <c r="M45" s="40">
        <f t="shared" si="1"/>
        <v>0.22001056310315359</v>
      </c>
      <c r="N45" t="str">
        <f t="shared" si="2"/>
        <v>Plastic - excludes packaging waste</v>
      </c>
      <c r="O45" t="str">
        <f t="shared" si="3"/>
        <v>Not recovered by supplier (packaging)</v>
      </c>
    </row>
    <row r="46" spans="1:15" s="17" customFormat="1" ht="15.75" thickBot="1" x14ac:dyDescent="0.3">
      <c r="B46" s="31">
        <v>39</v>
      </c>
      <c r="C46" s="15"/>
      <c r="D46" s="15" t="s">
        <v>34</v>
      </c>
      <c r="E46" s="33" t="str">
        <f t="shared" si="0"/>
        <v>15-01-02</v>
      </c>
      <c r="F46" s="15" t="s">
        <v>90</v>
      </c>
      <c r="G46" s="15" t="s">
        <v>24</v>
      </c>
      <c r="H46" s="15" t="s">
        <v>230</v>
      </c>
      <c r="I46" s="15">
        <v>15</v>
      </c>
      <c r="J46" s="15"/>
      <c r="K46" s="15">
        <f>I46*0.01</f>
        <v>0.15</v>
      </c>
      <c r="L46" s="15" t="s">
        <v>21</v>
      </c>
      <c r="M46" s="40">
        <f t="shared" si="1"/>
        <v>3.3001584465473037</v>
      </c>
      <c r="N46" s="17" t="str">
        <f t="shared" si="2"/>
        <v>Packaging: Plastic</v>
      </c>
      <c r="O46" s="17" t="str">
        <f t="shared" si="3"/>
        <v>Not recovered by supplier (packaging)</v>
      </c>
    </row>
    <row r="47" spans="1:15" ht="15.75" thickBot="1" x14ac:dyDescent="0.3">
      <c r="B47" s="1">
        <v>40</v>
      </c>
      <c r="C47" s="2"/>
      <c r="D47" s="2" t="s">
        <v>22</v>
      </c>
      <c r="E47" s="12" t="str">
        <f t="shared" si="0"/>
        <v>17-02-03</v>
      </c>
      <c r="F47" s="2" t="s">
        <v>91</v>
      </c>
      <c r="G47" s="2" t="s">
        <v>19</v>
      </c>
      <c r="H47" s="2" t="s">
        <v>230</v>
      </c>
      <c r="I47" s="2">
        <v>1</v>
      </c>
      <c r="J47" s="2" t="s">
        <v>92</v>
      </c>
      <c r="K47" s="2">
        <f>I47*(0.2*1.8*0.012)</f>
        <v>4.3200000000000009E-3</v>
      </c>
      <c r="L47" s="2" t="s">
        <v>26</v>
      </c>
      <c r="M47" s="40">
        <f t="shared" si="1"/>
        <v>9.5044563260562376E-2</v>
      </c>
      <c r="N47" t="str">
        <f t="shared" si="2"/>
        <v>Plastic - excludes packaging waste</v>
      </c>
      <c r="O47" t="str">
        <f t="shared" si="3"/>
        <v>Cutting waste</v>
      </c>
    </row>
    <row r="48" spans="1:15" ht="15.75" thickBot="1" x14ac:dyDescent="0.3">
      <c r="B48" s="1">
        <v>41</v>
      </c>
      <c r="C48" s="2"/>
      <c r="D48" s="2" t="s">
        <v>17</v>
      </c>
      <c r="E48" s="12" t="str">
        <f t="shared" si="0"/>
        <v>17-06-04</v>
      </c>
      <c r="F48" s="2" t="s">
        <v>93</v>
      </c>
      <c r="G48" s="2" t="s">
        <v>19</v>
      </c>
      <c r="H48" s="2" t="s">
        <v>230</v>
      </c>
      <c r="I48" s="2">
        <v>1</v>
      </c>
      <c r="J48" s="2" t="s">
        <v>94</v>
      </c>
      <c r="K48" s="2">
        <f>I48*0.025</f>
        <v>2.5000000000000001E-2</v>
      </c>
      <c r="L48" s="2" t="s">
        <v>21</v>
      </c>
      <c r="M48" s="40">
        <f t="shared" si="1"/>
        <v>0.55002640775788403</v>
      </c>
      <c r="N48" t="str">
        <f t="shared" si="2"/>
        <v>Insulation</v>
      </c>
      <c r="O48" t="str">
        <f t="shared" si="3"/>
        <v>Cutting waste</v>
      </c>
    </row>
    <row r="49" spans="1:15" ht="15.75" thickBot="1" x14ac:dyDescent="0.3">
      <c r="A49" s="18"/>
      <c r="B49" s="1">
        <v>42</v>
      </c>
      <c r="C49" s="2"/>
      <c r="D49" s="2" t="s">
        <v>76</v>
      </c>
      <c r="E49" s="12" t="str">
        <f t="shared" si="0"/>
        <v>17-01-01</v>
      </c>
      <c r="F49" s="2" t="s">
        <v>206</v>
      </c>
      <c r="G49" s="2" t="s">
        <v>19</v>
      </c>
      <c r="H49" s="2" t="s">
        <v>230</v>
      </c>
      <c r="I49" s="2">
        <v>2</v>
      </c>
      <c r="J49" s="2" t="s">
        <v>96</v>
      </c>
      <c r="K49" s="2">
        <f>I49*(0.2*0.27*0.4)</f>
        <v>4.3200000000000009E-2</v>
      </c>
      <c r="L49" s="2" t="s">
        <v>49</v>
      </c>
      <c r="M49" s="40">
        <f t="shared" si="1"/>
        <v>0.95044563260562376</v>
      </c>
      <c r="N49" t="str">
        <f>D49</f>
        <v>Concrete</v>
      </c>
      <c r="O49" t="str">
        <f t="shared" si="3"/>
        <v>Cutting waste</v>
      </c>
    </row>
    <row r="50" spans="1:15" ht="15.75" thickBot="1" x14ac:dyDescent="0.3">
      <c r="B50" s="1">
        <v>43</v>
      </c>
      <c r="C50" s="13"/>
      <c r="D50" s="15" t="s">
        <v>46</v>
      </c>
      <c r="E50" s="33" t="str">
        <f t="shared" si="0"/>
        <v>17-02-04</v>
      </c>
      <c r="F50" s="15" t="s">
        <v>97</v>
      </c>
      <c r="G50" s="15" t="s">
        <v>19</v>
      </c>
      <c r="H50" s="15"/>
      <c r="I50" s="15">
        <v>1</v>
      </c>
      <c r="J50" s="15" t="s">
        <v>98</v>
      </c>
      <c r="K50" s="15">
        <f>I50*0.4</f>
        <v>0.4</v>
      </c>
      <c r="L50" s="15" t="s">
        <v>30</v>
      </c>
      <c r="M50" s="40">
        <f t="shared" si="1"/>
        <v>8.8004225241261445</v>
      </c>
      <c r="N50" t="str">
        <f t="shared" ref="N50:N61" si="4">D50</f>
        <v>Treated wood/glass/plastic (including wood/plastic window frames)</v>
      </c>
      <c r="O50" t="str">
        <f t="shared" si="3"/>
        <v>Cutting waste</v>
      </c>
    </row>
    <row r="51" spans="1:15" ht="15.75" thickBot="1" x14ac:dyDescent="0.3">
      <c r="B51" s="1">
        <v>44</v>
      </c>
      <c r="C51" s="13"/>
      <c r="D51" s="15" t="s">
        <v>34</v>
      </c>
      <c r="E51" s="33" t="str">
        <f t="shared" si="0"/>
        <v>15-01-02</v>
      </c>
      <c r="F51" s="15" t="s">
        <v>99</v>
      </c>
      <c r="G51" s="15" t="s">
        <v>24</v>
      </c>
      <c r="H51" s="15"/>
      <c r="I51" s="15">
        <v>3</v>
      </c>
      <c r="J51" s="15" t="s">
        <v>100</v>
      </c>
      <c r="K51" s="15">
        <f>I51*(2.272*0.966*0.01)</f>
        <v>6.5842559999999994E-2</v>
      </c>
      <c r="L51" s="15" t="s">
        <v>21</v>
      </c>
      <c r="M51" s="40">
        <f t="shared" si="1"/>
        <v>1.4486058701753175</v>
      </c>
      <c r="N51" t="str">
        <f t="shared" si="4"/>
        <v>Packaging: Plastic</v>
      </c>
      <c r="O51" t="str">
        <f t="shared" si="3"/>
        <v>Not recovered by supplier (packaging)</v>
      </c>
    </row>
    <row r="52" spans="1:15" ht="15.75" thickBot="1" x14ac:dyDescent="0.3">
      <c r="B52" s="1">
        <v>45</v>
      </c>
      <c r="C52" s="13"/>
      <c r="D52" s="15" t="s">
        <v>43</v>
      </c>
      <c r="E52" s="33" t="str">
        <f t="shared" si="0"/>
        <v>15-01-01</v>
      </c>
      <c r="F52" s="15" t="s">
        <v>101</v>
      </c>
      <c r="G52" s="15" t="s">
        <v>24</v>
      </c>
      <c r="H52" s="15"/>
      <c r="I52" s="15">
        <v>4</v>
      </c>
      <c r="J52" s="15" t="s">
        <v>102</v>
      </c>
      <c r="K52" s="15">
        <f>I52*(2.4*0.15*0.01)</f>
        <v>1.44E-2</v>
      </c>
      <c r="L52" s="15" t="s">
        <v>26</v>
      </c>
      <c r="M52" s="40">
        <f t="shared" si="1"/>
        <v>0.3168152108685412</v>
      </c>
      <c r="N52" t="str">
        <f t="shared" si="4"/>
        <v>Packaging: Paper/Card</v>
      </c>
      <c r="O52" t="str">
        <f t="shared" si="3"/>
        <v>Not recovered by supplier (packaging)</v>
      </c>
    </row>
    <row r="53" spans="1:15" ht="15.75" thickBot="1" x14ac:dyDescent="0.3">
      <c r="B53" s="1">
        <v>46</v>
      </c>
      <c r="C53" s="13"/>
      <c r="D53" s="15" t="s">
        <v>103</v>
      </c>
      <c r="E53" s="33" t="str">
        <f t="shared" si="0"/>
        <v>17-04-10</v>
      </c>
      <c r="F53" s="15" t="s">
        <v>104</v>
      </c>
      <c r="G53" s="15" t="s">
        <v>19</v>
      </c>
      <c r="H53" s="15"/>
      <c r="I53" s="15">
        <v>10</v>
      </c>
      <c r="J53" s="15" t="s">
        <v>105</v>
      </c>
      <c r="K53" s="15">
        <f>I53*(0.05*0.05*1.1)</f>
        <v>2.7500000000000007E-2</v>
      </c>
      <c r="L53" s="15" t="s">
        <v>30</v>
      </c>
      <c r="M53" s="40">
        <f t="shared" si="1"/>
        <v>0.60502904853367256</v>
      </c>
      <c r="N53" t="str">
        <f t="shared" si="4"/>
        <v>Cables</v>
      </c>
      <c r="O53" t="str">
        <f t="shared" si="3"/>
        <v>Cutting waste</v>
      </c>
    </row>
    <row r="54" spans="1:15" ht="15.75" thickBot="1" x14ac:dyDescent="0.3">
      <c r="B54" s="1">
        <v>47</v>
      </c>
      <c r="C54" s="13"/>
      <c r="D54" s="15" t="s">
        <v>17</v>
      </c>
      <c r="E54" s="33" t="str">
        <f t="shared" si="0"/>
        <v>17-06-04</v>
      </c>
      <c r="F54" s="15" t="s">
        <v>93</v>
      </c>
      <c r="G54" s="15" t="s">
        <v>19</v>
      </c>
      <c r="H54" s="15"/>
      <c r="I54" s="15">
        <v>1</v>
      </c>
      <c r="J54" s="15" t="s">
        <v>106</v>
      </c>
      <c r="K54" s="15">
        <f>I54*0.05</f>
        <v>0.05</v>
      </c>
      <c r="L54" s="15" t="s">
        <v>21</v>
      </c>
      <c r="M54" s="40">
        <f t="shared" si="1"/>
        <v>1.1000528155157681</v>
      </c>
      <c r="N54" t="str">
        <f t="shared" si="4"/>
        <v>Insulation</v>
      </c>
      <c r="O54" t="str">
        <f t="shared" si="3"/>
        <v>Cutting waste</v>
      </c>
    </row>
    <row r="55" spans="1:15" ht="15.75" thickBot="1" x14ac:dyDescent="0.3">
      <c r="A55">
        <v>7</v>
      </c>
      <c r="B55" s="1">
        <v>48</v>
      </c>
      <c r="C55" s="13"/>
      <c r="D55" s="15" t="s">
        <v>34</v>
      </c>
      <c r="E55" s="33" t="str">
        <f t="shared" si="0"/>
        <v>15-01-02</v>
      </c>
      <c r="F55" s="15" t="s">
        <v>37</v>
      </c>
      <c r="G55" s="15" t="s">
        <v>24</v>
      </c>
      <c r="H55" s="15"/>
      <c r="I55" s="15">
        <v>1</v>
      </c>
      <c r="J55" s="15"/>
      <c r="K55" s="15">
        <f>I55*0.01</f>
        <v>0.01</v>
      </c>
      <c r="L55" s="15" t="s">
        <v>21</v>
      </c>
      <c r="M55" s="40">
        <f t="shared" si="1"/>
        <v>0.22001056310315359</v>
      </c>
      <c r="N55" t="str">
        <f t="shared" si="4"/>
        <v>Packaging: Plastic</v>
      </c>
      <c r="O55" t="str">
        <f t="shared" si="3"/>
        <v>Not recovered by supplier (packaging)</v>
      </c>
    </row>
    <row r="56" spans="1:15" ht="15.75" thickBot="1" x14ac:dyDescent="0.3">
      <c r="B56" s="1">
        <v>49</v>
      </c>
      <c r="C56" s="13"/>
      <c r="D56" s="15" t="s">
        <v>31</v>
      </c>
      <c r="E56" s="33" t="str">
        <f t="shared" si="0"/>
        <v>17-02-01</v>
      </c>
      <c r="F56" s="15" t="s">
        <v>32</v>
      </c>
      <c r="G56" s="15" t="s">
        <v>19</v>
      </c>
      <c r="H56" s="15"/>
      <c r="I56" s="15">
        <v>3</v>
      </c>
      <c r="J56" s="15" t="s">
        <v>107</v>
      </c>
      <c r="K56" s="15">
        <f>I56*(0.04*0.08*1.4)</f>
        <v>1.3439999999999999E-2</v>
      </c>
      <c r="L56" s="15" t="s">
        <v>26</v>
      </c>
      <c r="M56" s="40">
        <f t="shared" si="1"/>
        <v>0.29569419681063841</v>
      </c>
      <c r="N56" t="str">
        <f t="shared" si="4"/>
        <v>Wood - untreated</v>
      </c>
      <c r="O56" t="str">
        <f t="shared" si="3"/>
        <v>Cutting waste</v>
      </c>
    </row>
    <row r="57" spans="1:15" ht="15.75" thickBot="1" x14ac:dyDescent="0.3">
      <c r="B57" s="1">
        <v>50</v>
      </c>
      <c r="C57" s="13"/>
      <c r="D57" s="15" t="s">
        <v>17</v>
      </c>
      <c r="E57" s="33" t="str">
        <f t="shared" si="0"/>
        <v>17-06-04</v>
      </c>
      <c r="F57" s="15" t="s">
        <v>18</v>
      </c>
      <c r="G57" s="15" t="s">
        <v>19</v>
      </c>
      <c r="H57" s="15"/>
      <c r="I57" s="15">
        <v>1</v>
      </c>
      <c r="J57" s="15" t="s">
        <v>108</v>
      </c>
      <c r="K57" s="15">
        <f>I57*(0.2*1.2*0.1)</f>
        <v>2.4E-2</v>
      </c>
      <c r="L57" s="15" t="s">
        <v>21</v>
      </c>
      <c r="M57" s="40">
        <f t="shared" si="1"/>
        <v>0.52802535144756868</v>
      </c>
      <c r="N57" t="str">
        <f t="shared" si="4"/>
        <v>Insulation</v>
      </c>
      <c r="O57" t="str">
        <f t="shared" si="3"/>
        <v>Cutting waste</v>
      </c>
    </row>
    <row r="58" spans="1:15" ht="15.75" thickBot="1" x14ac:dyDescent="0.3">
      <c r="B58" s="1">
        <v>51</v>
      </c>
      <c r="C58" s="13"/>
      <c r="D58" s="15" t="s">
        <v>27</v>
      </c>
      <c r="E58" s="33">
        <f t="shared" si="0"/>
        <v>0</v>
      </c>
      <c r="F58" s="15" t="s">
        <v>109</v>
      </c>
      <c r="G58" s="15" t="s">
        <v>19</v>
      </c>
      <c r="H58" s="15"/>
      <c r="I58" s="15">
        <v>1</v>
      </c>
      <c r="J58" s="15" t="s">
        <v>110</v>
      </c>
      <c r="K58" s="15">
        <f>I58*(1.2*0.3*0.25)</f>
        <v>0.09</v>
      </c>
      <c r="L58" s="15" t="s">
        <v>49</v>
      </c>
      <c r="M58" s="40">
        <f t="shared" si="1"/>
        <v>1.9800950679283824</v>
      </c>
      <c r="N58" t="str">
        <f t="shared" si="4"/>
        <v>Other</v>
      </c>
      <c r="O58" t="str">
        <f t="shared" si="3"/>
        <v>Cutting waste</v>
      </c>
    </row>
    <row r="59" spans="1:15" ht="15.75" thickBot="1" x14ac:dyDescent="0.3">
      <c r="B59" s="1">
        <v>52</v>
      </c>
      <c r="C59" s="13"/>
      <c r="D59" s="15" t="s">
        <v>43</v>
      </c>
      <c r="E59" s="33" t="str">
        <f t="shared" si="0"/>
        <v>15-01-01</v>
      </c>
      <c r="F59" s="15" t="s">
        <v>44</v>
      </c>
      <c r="G59" s="15" t="s">
        <v>24</v>
      </c>
      <c r="H59" s="15"/>
      <c r="I59" s="15">
        <v>1</v>
      </c>
      <c r="J59" s="15" t="s">
        <v>111</v>
      </c>
      <c r="K59" s="15">
        <f>I59*(0.4*0.4*0.01)</f>
        <v>1.6000000000000003E-3</v>
      </c>
      <c r="L59" s="15" t="s">
        <v>26</v>
      </c>
      <c r="M59" s="40">
        <f t="shared" si="1"/>
        <v>3.5201690096504583E-2</v>
      </c>
      <c r="N59" t="str">
        <f t="shared" si="4"/>
        <v>Packaging: Paper/Card</v>
      </c>
      <c r="O59" t="str">
        <f t="shared" si="3"/>
        <v>Not recovered by supplier (packaging)</v>
      </c>
    </row>
    <row r="60" spans="1:15" ht="15.75" thickBot="1" x14ac:dyDescent="0.3">
      <c r="B60" s="1">
        <v>53</v>
      </c>
      <c r="C60" s="13"/>
      <c r="D60" s="15" t="s">
        <v>27</v>
      </c>
      <c r="E60" s="33">
        <f t="shared" si="0"/>
        <v>0</v>
      </c>
      <c r="F60" s="15" t="s">
        <v>28</v>
      </c>
      <c r="G60" s="15"/>
      <c r="H60" s="15"/>
      <c r="I60" s="15">
        <v>1</v>
      </c>
      <c r="J60" s="15" t="s">
        <v>29</v>
      </c>
      <c r="K60" s="15">
        <f>I60*(0.025*0.025*0.35)</f>
        <v>2.1875000000000003E-4</v>
      </c>
      <c r="L60" s="15" t="s">
        <v>30</v>
      </c>
      <c r="M60" s="40">
        <f t="shared" si="1"/>
        <v>4.8127310678814858E-3</v>
      </c>
      <c r="N60" t="s">
        <v>184</v>
      </c>
      <c r="O60" t="s">
        <v>185</v>
      </c>
    </row>
    <row r="61" spans="1:15" ht="15.75" thickBot="1" x14ac:dyDescent="0.3">
      <c r="A61" s="17"/>
      <c r="B61" s="1">
        <v>54</v>
      </c>
      <c r="C61" s="13"/>
      <c r="D61" s="15" t="s">
        <v>22</v>
      </c>
      <c r="E61" s="33" t="str">
        <f t="shared" si="0"/>
        <v>17-02-03</v>
      </c>
      <c r="F61" s="15" t="s">
        <v>112</v>
      </c>
      <c r="G61" s="15" t="s">
        <v>63</v>
      </c>
      <c r="H61" s="15"/>
      <c r="I61" s="15">
        <v>2</v>
      </c>
      <c r="J61" s="15" t="s">
        <v>113</v>
      </c>
      <c r="K61" s="15">
        <f>I61*0.05</f>
        <v>0.1</v>
      </c>
      <c r="L61" s="15" t="s">
        <v>64</v>
      </c>
      <c r="M61" s="40">
        <f t="shared" si="1"/>
        <v>2.2001056310315361</v>
      </c>
      <c r="N61" t="str">
        <f t="shared" si="4"/>
        <v>Plastic - excludes packaging waste</v>
      </c>
      <c r="O61" t="str">
        <f t="shared" si="3"/>
        <v>Wrongly specified</v>
      </c>
    </row>
    <row r="62" spans="1:15" ht="15.75" thickBot="1" x14ac:dyDescent="0.3">
      <c r="B62" s="1">
        <v>55</v>
      </c>
      <c r="C62" s="2"/>
      <c r="D62" s="2"/>
      <c r="E62" s="12" t="str">
        <f t="shared" si="0"/>
        <v/>
      </c>
      <c r="F62" s="2"/>
      <c r="G62" s="2"/>
      <c r="H62" s="2"/>
      <c r="I62" s="2"/>
      <c r="J62" s="2"/>
      <c r="K62" s="37">
        <f>SUM(K8:K61)</f>
        <v>4.5452363099999999</v>
      </c>
      <c r="L62" s="2"/>
      <c r="M62" s="41">
        <f>SUM(M8:M61)</f>
        <v>100.00000000000001</v>
      </c>
    </row>
    <row r="63" spans="1:15" ht="15.75" thickBot="1" x14ac:dyDescent="0.3">
      <c r="B63" s="1">
        <v>56</v>
      </c>
      <c r="C63" s="2"/>
      <c r="D63" s="2"/>
      <c r="E63" s="12" t="str">
        <f t="shared" si="0"/>
        <v/>
      </c>
      <c r="F63" s="2"/>
      <c r="G63" s="2"/>
      <c r="H63" s="2"/>
      <c r="I63" s="2"/>
      <c r="J63" s="2"/>
      <c r="K63" s="2"/>
      <c r="L63" s="2"/>
    </row>
    <row r="64" spans="1:15" ht="15.75" thickBot="1" x14ac:dyDescent="0.3">
      <c r="B64" s="1">
        <v>57</v>
      </c>
      <c r="C64" s="2"/>
      <c r="D64" s="2"/>
      <c r="E64" s="12" t="str">
        <f t="shared" si="0"/>
        <v/>
      </c>
      <c r="F64" s="2"/>
      <c r="G64" s="2"/>
      <c r="H64" s="2"/>
      <c r="I64" s="2"/>
      <c r="J64" s="2"/>
      <c r="K64" s="2">
        <f>K10+K31+K39+K60</f>
        <v>1.953125E-2</v>
      </c>
      <c r="L64" s="23" t="s">
        <v>184</v>
      </c>
      <c r="M64" s="40">
        <f>M10+M31+M39+M60</f>
        <v>0.42970813106084693</v>
      </c>
      <c r="N64" t="s">
        <v>184</v>
      </c>
    </row>
    <row r="65" spans="2:14" ht="15.75" thickBot="1" x14ac:dyDescent="0.3">
      <c r="B65" s="1">
        <v>58</v>
      </c>
      <c r="C65" s="2"/>
      <c r="D65" s="2"/>
      <c r="E65" s="12" t="str">
        <f t="shared" si="0"/>
        <v/>
      </c>
      <c r="F65" s="2"/>
      <c r="G65" s="2"/>
      <c r="H65" s="2"/>
      <c r="I65" s="2"/>
      <c r="J65" s="2"/>
      <c r="K65" s="2">
        <f>K9+K12+K13+K14+K15+K17+K30+K36+K42+K45+K46+K51+K52+K55+K59</f>
        <v>1.3302425600000001</v>
      </c>
      <c r="L65" s="23" t="s">
        <v>215</v>
      </c>
      <c r="M65" s="40">
        <f>M9+M12+M13+M14+M15+M17+M30+M36+M42+M46+M40+M51+M52+M55+M59+M45</f>
        <v>30.058779496109409</v>
      </c>
      <c r="N65" t="s">
        <v>215</v>
      </c>
    </row>
    <row r="66" spans="2:14" ht="15.75" thickBot="1" x14ac:dyDescent="0.3">
      <c r="B66" s="1">
        <v>59</v>
      </c>
      <c r="C66" s="2"/>
      <c r="D66" s="2"/>
      <c r="E66" s="12" t="str">
        <f t="shared" si="0"/>
        <v/>
      </c>
      <c r="F66" s="2"/>
      <c r="G66" s="2"/>
      <c r="H66" s="2"/>
      <c r="I66" s="2"/>
      <c r="J66" s="2"/>
      <c r="K66" s="36">
        <f>K20+K23+M58</f>
        <v>2.0035950679283823</v>
      </c>
      <c r="L66" s="23" t="s">
        <v>27</v>
      </c>
      <c r="M66" s="40">
        <f>M20+M23+M58</f>
        <v>2.4971198912207933</v>
      </c>
      <c r="N66" t="s">
        <v>27</v>
      </c>
    </row>
    <row r="67" spans="2:14" ht="15.75" thickBot="1" x14ac:dyDescent="0.3">
      <c r="B67" s="1">
        <v>60</v>
      </c>
      <c r="C67" s="2"/>
      <c r="D67" s="2"/>
      <c r="E67" s="12" t="str">
        <f t="shared" si="0"/>
        <v/>
      </c>
      <c r="F67" s="2"/>
      <c r="G67" s="2"/>
      <c r="H67" s="2"/>
      <c r="I67" s="2"/>
      <c r="J67" s="2"/>
      <c r="K67" s="2"/>
      <c r="L67" s="2"/>
    </row>
    <row r="68" spans="2:14" ht="15.75" thickBot="1" x14ac:dyDescent="0.3">
      <c r="B68" s="1">
        <v>61</v>
      </c>
      <c r="C68" s="2"/>
      <c r="D68" s="2"/>
      <c r="E68" s="12" t="str">
        <f t="shared" si="0"/>
        <v/>
      </c>
      <c r="F68" s="2"/>
      <c r="G68" s="2"/>
      <c r="H68" s="2"/>
      <c r="I68" s="2"/>
      <c r="J68" s="2"/>
      <c r="K68" s="23"/>
      <c r="L68" s="23"/>
    </row>
    <row r="69" spans="2:14" ht="15.75" thickBot="1" x14ac:dyDescent="0.3">
      <c r="B69" s="1">
        <v>62</v>
      </c>
      <c r="C69" s="2"/>
      <c r="D69" s="2"/>
      <c r="E69" s="12" t="str">
        <f t="shared" si="0"/>
        <v/>
      </c>
      <c r="F69" s="2"/>
      <c r="G69" s="2"/>
      <c r="H69" s="2"/>
      <c r="I69" s="2"/>
      <c r="J69" s="2"/>
      <c r="K69" s="23"/>
      <c r="L69" s="23"/>
    </row>
    <row r="70" spans="2:14" ht="15.75" thickBot="1" x14ac:dyDescent="0.3">
      <c r="B70" s="1">
        <v>63</v>
      </c>
      <c r="C70" s="2"/>
      <c r="D70" s="2"/>
      <c r="E70" s="12" t="str">
        <f t="shared" si="0"/>
        <v/>
      </c>
      <c r="F70" s="2"/>
      <c r="G70" s="2"/>
      <c r="H70" s="2"/>
      <c r="I70" s="2"/>
      <c r="J70" s="2"/>
      <c r="K70" s="23"/>
      <c r="L70" s="23"/>
    </row>
    <row r="71" spans="2:14" ht="15.75" thickBot="1" x14ac:dyDescent="0.3">
      <c r="B71" s="1">
        <v>64</v>
      </c>
      <c r="C71" s="2"/>
      <c r="D71" s="2"/>
      <c r="E71" s="12" t="str">
        <f t="shared" si="0"/>
        <v/>
      </c>
      <c r="F71" s="2"/>
      <c r="G71" s="2"/>
      <c r="H71" s="2"/>
      <c r="I71" s="2"/>
      <c r="J71" s="2"/>
      <c r="K71" s="2"/>
      <c r="L71" s="2"/>
    </row>
    <row r="72" spans="2:14" ht="15.75" thickBot="1" x14ac:dyDescent="0.3">
      <c r="B72" s="1">
        <v>65</v>
      </c>
      <c r="C72" s="2"/>
      <c r="D72" s="2"/>
      <c r="E72" s="12" t="str">
        <f t="shared" ref="E72:E135" si="5">IF(ISNA(VLOOKUP(D72,TYW,2,FALSE)),"",VLOOKUP(D72,TYW,2,FALSE))</f>
        <v/>
      </c>
      <c r="F72" s="2"/>
      <c r="G72" s="2"/>
      <c r="H72" s="2"/>
      <c r="I72" s="2"/>
      <c r="J72" s="2"/>
      <c r="K72" s="2"/>
      <c r="L72" s="2"/>
    </row>
    <row r="73" spans="2:14" ht="15.75" thickBot="1" x14ac:dyDescent="0.3">
      <c r="B73" s="1">
        <v>66</v>
      </c>
      <c r="C73" s="2"/>
      <c r="D73" s="2"/>
      <c r="E73" s="12" t="str">
        <f t="shared" si="5"/>
        <v/>
      </c>
      <c r="F73" s="2"/>
      <c r="G73" s="2"/>
      <c r="H73" s="2"/>
      <c r="I73" s="2"/>
      <c r="J73" s="2"/>
      <c r="K73" s="2"/>
      <c r="L73" s="2"/>
    </row>
    <row r="74" spans="2:14" ht="15.75" thickBot="1" x14ac:dyDescent="0.3">
      <c r="B74" s="1">
        <v>67</v>
      </c>
      <c r="C74" s="2"/>
      <c r="D74" s="2"/>
      <c r="E74" s="12" t="str">
        <f t="shared" si="5"/>
        <v/>
      </c>
      <c r="F74" s="2"/>
      <c r="G74" s="2"/>
      <c r="H74" s="2"/>
      <c r="I74" s="2"/>
      <c r="J74" s="2"/>
      <c r="K74" s="2"/>
      <c r="L74" s="2"/>
    </row>
    <row r="75" spans="2:14" ht="15.75" thickBot="1" x14ac:dyDescent="0.3">
      <c r="B75" s="1">
        <v>68</v>
      </c>
      <c r="C75" s="2"/>
      <c r="D75" s="2"/>
      <c r="E75" s="12" t="str">
        <f t="shared" si="5"/>
        <v/>
      </c>
      <c r="F75" s="2"/>
      <c r="G75" s="2"/>
      <c r="H75" s="2"/>
      <c r="I75" s="2"/>
      <c r="J75" s="2"/>
      <c r="K75" s="2"/>
      <c r="L75" s="2"/>
    </row>
    <row r="76" spans="2:14" ht="15.75" thickBot="1" x14ac:dyDescent="0.3">
      <c r="B76" s="1">
        <v>69</v>
      </c>
      <c r="C76" s="2"/>
      <c r="D76" s="2"/>
      <c r="E76" s="12" t="str">
        <f t="shared" si="5"/>
        <v/>
      </c>
      <c r="F76" s="2"/>
      <c r="G76" s="2"/>
      <c r="H76" s="2"/>
      <c r="I76" s="2"/>
      <c r="J76" s="2"/>
      <c r="K76" s="2"/>
      <c r="L76" s="2"/>
    </row>
    <row r="77" spans="2:14" ht="15.75" thickBot="1" x14ac:dyDescent="0.3">
      <c r="B77" s="1">
        <v>70</v>
      </c>
      <c r="C77" s="2"/>
      <c r="D77" s="2"/>
      <c r="E77" s="12" t="str">
        <f t="shared" si="5"/>
        <v/>
      </c>
      <c r="F77" s="2"/>
      <c r="G77" s="2"/>
      <c r="H77" s="2"/>
      <c r="I77" s="2"/>
      <c r="J77" s="2"/>
      <c r="K77" s="2"/>
      <c r="L77" s="2"/>
    </row>
    <row r="78" spans="2:14" ht="15.75" thickBot="1" x14ac:dyDescent="0.3">
      <c r="B78" s="1">
        <v>71</v>
      </c>
      <c r="C78" s="2"/>
      <c r="D78" s="2"/>
      <c r="E78" s="12" t="str">
        <f t="shared" si="5"/>
        <v/>
      </c>
      <c r="F78" s="2"/>
      <c r="G78" s="2"/>
      <c r="H78" s="2"/>
      <c r="I78" s="2"/>
      <c r="J78" s="2"/>
      <c r="K78" s="2"/>
      <c r="L78" s="2"/>
    </row>
    <row r="79" spans="2:14" ht="15.75" thickBot="1" x14ac:dyDescent="0.3">
      <c r="B79" s="1">
        <v>72</v>
      </c>
      <c r="C79" s="2"/>
      <c r="D79" s="2"/>
      <c r="E79" s="12" t="str">
        <f t="shared" si="5"/>
        <v/>
      </c>
      <c r="F79" s="2"/>
      <c r="G79" s="2"/>
      <c r="H79" s="2"/>
      <c r="I79" s="2"/>
      <c r="J79" s="2"/>
      <c r="K79" s="2"/>
      <c r="L79" s="2"/>
    </row>
    <row r="80" spans="2:14" ht="15.75" thickBot="1" x14ac:dyDescent="0.3">
      <c r="B80" s="1">
        <v>73</v>
      </c>
      <c r="C80" s="2"/>
      <c r="D80" s="2"/>
      <c r="E80" s="12" t="str">
        <f t="shared" si="5"/>
        <v/>
      </c>
      <c r="F80" s="2"/>
      <c r="G80" s="2"/>
      <c r="H80" s="2"/>
      <c r="I80" s="2"/>
      <c r="J80" s="2"/>
      <c r="K80" s="2"/>
      <c r="L80" s="2"/>
    </row>
    <row r="81" spans="2:12" ht="15.75" thickBot="1" x14ac:dyDescent="0.3">
      <c r="B81" s="1">
        <v>74</v>
      </c>
      <c r="C81" s="2"/>
      <c r="D81" s="2"/>
      <c r="E81" s="12" t="str">
        <f t="shared" si="5"/>
        <v/>
      </c>
      <c r="F81" s="2"/>
      <c r="G81" s="2"/>
      <c r="H81" s="2"/>
      <c r="I81" s="2"/>
      <c r="J81" s="2"/>
      <c r="K81" s="2"/>
      <c r="L81" s="2"/>
    </row>
    <row r="82" spans="2:12" ht="15.75" thickBot="1" x14ac:dyDescent="0.3">
      <c r="B82" s="1">
        <v>75</v>
      </c>
      <c r="C82" s="2"/>
      <c r="D82" s="2"/>
      <c r="E82" s="12" t="str">
        <f t="shared" si="5"/>
        <v/>
      </c>
      <c r="F82" s="2"/>
      <c r="G82" s="2"/>
      <c r="H82" s="2"/>
      <c r="I82" s="2"/>
      <c r="J82" s="2"/>
      <c r="K82" s="2"/>
      <c r="L82" s="2"/>
    </row>
    <row r="83" spans="2:12" ht="15.75" thickBot="1" x14ac:dyDescent="0.3">
      <c r="B83" s="1">
        <v>76</v>
      </c>
      <c r="C83" s="2"/>
      <c r="D83" s="2"/>
      <c r="E83" s="12" t="str">
        <f t="shared" si="5"/>
        <v/>
      </c>
      <c r="F83" s="2"/>
      <c r="G83" s="2"/>
      <c r="H83" s="2"/>
      <c r="I83" s="2"/>
      <c r="J83" s="2"/>
      <c r="K83" s="2"/>
      <c r="L83" s="2"/>
    </row>
    <row r="84" spans="2:12" ht="15.75" thickBot="1" x14ac:dyDescent="0.3">
      <c r="B84" s="1">
        <v>77</v>
      </c>
      <c r="C84" s="2"/>
      <c r="D84" s="2"/>
      <c r="E84" s="12" t="str">
        <f t="shared" si="5"/>
        <v/>
      </c>
      <c r="F84" s="2"/>
      <c r="G84" s="2"/>
      <c r="H84" s="2"/>
      <c r="I84" s="2"/>
      <c r="J84" s="2"/>
      <c r="K84" s="2"/>
      <c r="L84" s="2"/>
    </row>
    <row r="85" spans="2:12" ht="15.75" thickBot="1" x14ac:dyDescent="0.3">
      <c r="B85" s="1">
        <v>78</v>
      </c>
      <c r="C85" s="2"/>
      <c r="D85" s="2"/>
      <c r="E85" s="12" t="str">
        <f t="shared" si="5"/>
        <v/>
      </c>
      <c r="F85" s="2"/>
      <c r="G85" s="2"/>
      <c r="H85" s="2"/>
      <c r="I85" s="2"/>
      <c r="J85" s="2"/>
      <c r="K85" s="2"/>
      <c r="L85" s="2"/>
    </row>
    <row r="86" spans="2:12" ht="15.75" thickBot="1" x14ac:dyDescent="0.3">
      <c r="B86" s="1">
        <v>79</v>
      </c>
      <c r="C86" s="2"/>
      <c r="D86" s="2"/>
      <c r="E86" s="12" t="str">
        <f t="shared" si="5"/>
        <v/>
      </c>
      <c r="F86" s="2"/>
      <c r="G86" s="2"/>
      <c r="H86" s="2"/>
      <c r="I86" s="2"/>
      <c r="J86" s="2"/>
      <c r="K86" s="2"/>
      <c r="L86" s="2"/>
    </row>
    <row r="87" spans="2:12" ht="15.75" thickBot="1" x14ac:dyDescent="0.3">
      <c r="B87" s="1">
        <v>80</v>
      </c>
      <c r="C87" s="2"/>
      <c r="D87" s="2"/>
      <c r="E87" s="12" t="str">
        <f t="shared" si="5"/>
        <v/>
      </c>
      <c r="F87" s="2"/>
      <c r="G87" s="2"/>
      <c r="H87" s="2"/>
      <c r="I87" s="2"/>
      <c r="J87" s="2"/>
      <c r="K87" s="2"/>
      <c r="L87" s="2"/>
    </row>
    <row r="88" spans="2:12" ht="15.75" thickBot="1" x14ac:dyDescent="0.3">
      <c r="B88" s="1">
        <v>81</v>
      </c>
      <c r="C88" s="2"/>
      <c r="D88" s="2"/>
      <c r="E88" s="12" t="str">
        <f t="shared" si="5"/>
        <v/>
      </c>
      <c r="F88" s="2"/>
      <c r="G88" s="2"/>
      <c r="H88" s="2"/>
      <c r="I88" s="2"/>
      <c r="J88" s="2"/>
      <c r="K88" s="2"/>
      <c r="L88" s="2"/>
    </row>
    <row r="89" spans="2:12" ht="15.75" thickBot="1" x14ac:dyDescent="0.3">
      <c r="B89" s="1">
        <v>82</v>
      </c>
      <c r="C89" s="2"/>
      <c r="D89" s="2"/>
      <c r="E89" s="12" t="str">
        <f t="shared" si="5"/>
        <v/>
      </c>
      <c r="F89" s="2"/>
      <c r="G89" s="2"/>
      <c r="H89" s="2"/>
      <c r="I89" s="2"/>
      <c r="J89" s="2"/>
      <c r="K89" s="2"/>
      <c r="L89" s="2"/>
    </row>
    <row r="90" spans="2:12" ht="15.75" thickBot="1" x14ac:dyDescent="0.3">
      <c r="B90" s="1">
        <v>83</v>
      </c>
      <c r="C90" s="2"/>
      <c r="D90" s="2"/>
      <c r="E90" s="12" t="str">
        <f t="shared" si="5"/>
        <v/>
      </c>
      <c r="F90" s="2"/>
      <c r="G90" s="2"/>
      <c r="H90" s="2"/>
      <c r="I90" s="2"/>
      <c r="J90" s="2"/>
      <c r="K90" s="2"/>
      <c r="L90" s="2"/>
    </row>
    <row r="91" spans="2:12" ht="15.75" thickBot="1" x14ac:dyDescent="0.3">
      <c r="B91" s="1">
        <v>84</v>
      </c>
      <c r="C91" s="2"/>
      <c r="D91" s="2"/>
      <c r="E91" s="12" t="str">
        <f t="shared" si="5"/>
        <v/>
      </c>
      <c r="F91" s="2"/>
      <c r="G91" s="2"/>
      <c r="H91" s="2"/>
      <c r="I91" s="2"/>
      <c r="J91" s="2"/>
      <c r="K91" s="2"/>
      <c r="L91" s="2"/>
    </row>
    <row r="92" spans="2:12" ht="15.75" thickBot="1" x14ac:dyDescent="0.3">
      <c r="B92" s="1">
        <v>85</v>
      </c>
      <c r="C92" s="2"/>
      <c r="D92" s="2"/>
      <c r="E92" s="12" t="str">
        <f t="shared" si="5"/>
        <v/>
      </c>
      <c r="F92" s="2"/>
      <c r="G92" s="2"/>
      <c r="H92" s="2"/>
      <c r="I92" s="2"/>
      <c r="J92" s="2"/>
      <c r="K92" s="2"/>
      <c r="L92" s="2"/>
    </row>
    <row r="93" spans="2:12" ht="15.75" thickBot="1" x14ac:dyDescent="0.3">
      <c r="B93" s="1">
        <v>86</v>
      </c>
      <c r="C93" s="2"/>
      <c r="D93" s="2"/>
      <c r="E93" s="12" t="str">
        <f t="shared" si="5"/>
        <v/>
      </c>
      <c r="F93" s="2"/>
      <c r="G93" s="2"/>
      <c r="H93" s="2"/>
      <c r="I93" s="2"/>
      <c r="J93" s="2"/>
      <c r="K93" s="2"/>
      <c r="L93" s="2"/>
    </row>
    <row r="94" spans="2:12" ht="15.75" thickBot="1" x14ac:dyDescent="0.3">
      <c r="B94" s="1">
        <v>87</v>
      </c>
      <c r="C94" s="2"/>
      <c r="D94" s="2"/>
      <c r="E94" s="12" t="str">
        <f t="shared" si="5"/>
        <v/>
      </c>
      <c r="F94" s="2"/>
      <c r="G94" s="2"/>
      <c r="H94" s="2"/>
      <c r="I94" s="2"/>
      <c r="J94" s="2"/>
      <c r="K94" s="2"/>
      <c r="L94" s="2"/>
    </row>
    <row r="95" spans="2:12" ht="15.75" thickBot="1" x14ac:dyDescent="0.3">
      <c r="B95" s="1">
        <v>88</v>
      </c>
      <c r="C95" s="2"/>
      <c r="D95" s="2"/>
      <c r="E95" s="12" t="str">
        <f t="shared" si="5"/>
        <v/>
      </c>
      <c r="F95" s="2"/>
      <c r="G95" s="2"/>
      <c r="H95" s="2"/>
      <c r="I95" s="2"/>
      <c r="J95" s="2"/>
      <c r="K95" s="2"/>
      <c r="L95" s="2"/>
    </row>
    <row r="96" spans="2:12" ht="15.75" thickBot="1" x14ac:dyDescent="0.3">
      <c r="B96" s="1">
        <v>89</v>
      </c>
      <c r="C96" s="2"/>
      <c r="D96" s="2"/>
      <c r="E96" s="12" t="str">
        <f t="shared" si="5"/>
        <v/>
      </c>
      <c r="F96" s="2"/>
      <c r="G96" s="2"/>
      <c r="H96" s="2"/>
      <c r="I96" s="2"/>
      <c r="J96" s="2"/>
      <c r="K96" s="2"/>
      <c r="L96" s="2"/>
    </row>
    <row r="97" spans="2:12" ht="15.75" thickBot="1" x14ac:dyDescent="0.3">
      <c r="B97" s="1">
        <v>90</v>
      </c>
      <c r="C97" s="2"/>
      <c r="D97" s="2"/>
      <c r="E97" s="12" t="str">
        <f t="shared" si="5"/>
        <v/>
      </c>
      <c r="F97" s="2"/>
      <c r="G97" s="2"/>
      <c r="H97" s="2"/>
      <c r="I97" s="2"/>
      <c r="J97" s="2"/>
      <c r="K97" s="2"/>
      <c r="L97" s="2"/>
    </row>
    <row r="98" spans="2:12" ht="15.75" thickBot="1" x14ac:dyDescent="0.3">
      <c r="B98" s="1">
        <v>91</v>
      </c>
      <c r="C98" s="2"/>
      <c r="D98" s="2"/>
      <c r="E98" s="12" t="str">
        <f t="shared" si="5"/>
        <v/>
      </c>
      <c r="F98" s="2"/>
      <c r="G98" s="2"/>
      <c r="H98" s="2"/>
      <c r="I98" s="2"/>
      <c r="J98" s="2"/>
      <c r="K98" s="2"/>
      <c r="L98" s="2"/>
    </row>
    <row r="99" spans="2:12" ht="15.75" thickBot="1" x14ac:dyDescent="0.3">
      <c r="B99" s="1">
        <v>92</v>
      </c>
      <c r="C99" s="2"/>
      <c r="D99" s="2"/>
      <c r="E99" s="12" t="str">
        <f t="shared" si="5"/>
        <v/>
      </c>
      <c r="F99" s="2"/>
      <c r="G99" s="2"/>
      <c r="H99" s="2"/>
      <c r="I99" s="2"/>
      <c r="J99" s="2"/>
      <c r="K99" s="2"/>
      <c r="L99" s="2"/>
    </row>
    <row r="100" spans="2:12" ht="15.75" thickBot="1" x14ac:dyDescent="0.3">
      <c r="B100" s="1">
        <v>93</v>
      </c>
      <c r="C100" s="2"/>
      <c r="D100" s="2"/>
      <c r="E100" s="12" t="str">
        <f t="shared" si="5"/>
        <v/>
      </c>
      <c r="F100" s="2"/>
      <c r="G100" s="2"/>
      <c r="H100" s="2"/>
      <c r="I100" s="2"/>
      <c r="J100" s="2"/>
      <c r="K100" s="2"/>
      <c r="L100" s="2"/>
    </row>
    <row r="101" spans="2:12" ht="15.75" thickBot="1" x14ac:dyDescent="0.3">
      <c r="B101" s="1">
        <v>94</v>
      </c>
      <c r="C101" s="2"/>
      <c r="D101" s="2"/>
      <c r="E101" s="12" t="str">
        <f t="shared" si="5"/>
        <v/>
      </c>
      <c r="F101" s="2"/>
      <c r="G101" s="2"/>
      <c r="H101" s="2"/>
      <c r="I101" s="2"/>
      <c r="J101" s="2"/>
      <c r="K101" s="2"/>
      <c r="L101" s="2"/>
    </row>
    <row r="102" spans="2:12" ht="15.75" thickBot="1" x14ac:dyDescent="0.3">
      <c r="B102" s="1">
        <v>95</v>
      </c>
      <c r="C102" s="2"/>
      <c r="D102" s="2"/>
      <c r="E102" s="12" t="str">
        <f t="shared" si="5"/>
        <v/>
      </c>
      <c r="F102" s="2"/>
      <c r="G102" s="2"/>
      <c r="H102" s="2"/>
      <c r="I102" s="2"/>
      <c r="J102" s="2"/>
      <c r="K102" s="2"/>
      <c r="L102" s="2"/>
    </row>
    <row r="103" spans="2:12" ht="15.75" thickBot="1" x14ac:dyDescent="0.3">
      <c r="B103" s="1">
        <v>96</v>
      </c>
      <c r="C103" s="2"/>
      <c r="D103" s="2"/>
      <c r="E103" s="12" t="str">
        <f t="shared" si="5"/>
        <v/>
      </c>
      <c r="F103" s="2"/>
      <c r="G103" s="2"/>
      <c r="H103" s="2"/>
      <c r="I103" s="2"/>
      <c r="J103" s="2"/>
      <c r="K103" s="2"/>
      <c r="L103" s="2"/>
    </row>
    <row r="104" spans="2:12" ht="15.75" thickBot="1" x14ac:dyDescent="0.3">
      <c r="B104" s="1">
        <v>97</v>
      </c>
      <c r="C104" s="2"/>
      <c r="D104" s="2"/>
      <c r="E104" s="12" t="str">
        <f t="shared" si="5"/>
        <v/>
      </c>
      <c r="F104" s="2"/>
      <c r="G104" s="2"/>
      <c r="H104" s="2"/>
      <c r="I104" s="2"/>
      <c r="J104" s="2"/>
      <c r="K104" s="2"/>
      <c r="L104" s="2"/>
    </row>
    <row r="105" spans="2:12" ht="15.75" thickBot="1" x14ac:dyDescent="0.3">
      <c r="B105" s="1">
        <v>98</v>
      </c>
      <c r="C105" s="2"/>
      <c r="D105" s="2"/>
      <c r="E105" s="12" t="str">
        <f t="shared" si="5"/>
        <v/>
      </c>
      <c r="F105" s="2"/>
      <c r="G105" s="2"/>
      <c r="H105" s="2"/>
      <c r="I105" s="2"/>
      <c r="J105" s="2"/>
      <c r="K105" s="2"/>
      <c r="L105" s="2"/>
    </row>
    <row r="106" spans="2:12" ht="15.75" thickBot="1" x14ac:dyDescent="0.3">
      <c r="B106" s="1">
        <v>99</v>
      </c>
      <c r="C106" s="2"/>
      <c r="D106" s="2"/>
      <c r="E106" s="12" t="str">
        <f t="shared" si="5"/>
        <v/>
      </c>
      <c r="F106" s="2"/>
      <c r="G106" s="2"/>
      <c r="H106" s="2"/>
      <c r="I106" s="2"/>
      <c r="J106" s="2"/>
      <c r="K106" s="2"/>
      <c r="L106" s="2"/>
    </row>
    <row r="107" spans="2:12" ht="15.75" thickBot="1" x14ac:dyDescent="0.3">
      <c r="B107" s="1">
        <v>100</v>
      </c>
      <c r="C107" s="2"/>
      <c r="D107" s="2"/>
      <c r="E107" s="12" t="str">
        <f t="shared" si="5"/>
        <v/>
      </c>
      <c r="F107" s="2"/>
      <c r="G107" s="2"/>
      <c r="H107" s="2"/>
      <c r="I107" s="2"/>
      <c r="J107" s="2"/>
      <c r="K107" s="2"/>
      <c r="L107" s="2"/>
    </row>
    <row r="108" spans="2:12" ht="15.75" thickBot="1" x14ac:dyDescent="0.3">
      <c r="B108" s="1">
        <v>101</v>
      </c>
      <c r="C108" s="2"/>
      <c r="D108" s="2"/>
      <c r="E108" s="12" t="str">
        <f t="shared" si="5"/>
        <v/>
      </c>
      <c r="F108" s="2"/>
      <c r="G108" s="2"/>
      <c r="H108" s="2"/>
      <c r="I108" s="2"/>
      <c r="J108" s="2"/>
      <c r="K108" s="2"/>
      <c r="L108" s="2"/>
    </row>
    <row r="109" spans="2:12" ht="15.75" thickBot="1" x14ac:dyDescent="0.3">
      <c r="B109" s="1">
        <v>102</v>
      </c>
      <c r="C109" s="2"/>
      <c r="D109" s="2"/>
      <c r="E109" s="12" t="str">
        <f t="shared" si="5"/>
        <v/>
      </c>
      <c r="F109" s="2"/>
      <c r="G109" s="2"/>
      <c r="H109" s="2"/>
      <c r="I109" s="2"/>
      <c r="J109" s="2"/>
      <c r="K109" s="2"/>
      <c r="L109" s="2"/>
    </row>
    <row r="110" spans="2:12" ht="15.75" thickBot="1" x14ac:dyDescent="0.3">
      <c r="B110" s="1">
        <v>103</v>
      </c>
      <c r="C110" s="2"/>
      <c r="D110" s="2"/>
      <c r="E110" s="12" t="str">
        <f t="shared" si="5"/>
        <v/>
      </c>
      <c r="F110" s="2"/>
      <c r="G110" s="2"/>
      <c r="H110" s="2"/>
      <c r="I110" s="2"/>
      <c r="J110" s="2"/>
      <c r="K110" s="2"/>
      <c r="L110" s="2"/>
    </row>
    <row r="111" spans="2:12" ht="15.75" thickBot="1" x14ac:dyDescent="0.3">
      <c r="B111" s="1">
        <v>104</v>
      </c>
      <c r="C111" s="2"/>
      <c r="D111" s="2"/>
      <c r="E111" s="12" t="str">
        <f t="shared" si="5"/>
        <v/>
      </c>
      <c r="F111" s="2"/>
      <c r="G111" s="2"/>
      <c r="H111" s="2"/>
      <c r="I111" s="2"/>
      <c r="J111" s="2"/>
      <c r="K111" s="2"/>
      <c r="L111" s="2"/>
    </row>
    <row r="112" spans="2:12" ht="15.75" thickBot="1" x14ac:dyDescent="0.3">
      <c r="B112" s="1">
        <v>105</v>
      </c>
      <c r="C112" s="2"/>
      <c r="D112" s="2"/>
      <c r="E112" s="12" t="str">
        <f t="shared" si="5"/>
        <v/>
      </c>
      <c r="F112" s="2"/>
      <c r="G112" s="2"/>
      <c r="H112" s="2"/>
      <c r="I112" s="2"/>
      <c r="J112" s="2"/>
      <c r="K112" s="2"/>
      <c r="L112" s="2"/>
    </row>
    <row r="113" spans="2:12" ht="15.75" thickBot="1" x14ac:dyDescent="0.3">
      <c r="B113" s="1">
        <v>106</v>
      </c>
      <c r="C113" s="2"/>
      <c r="D113" s="2"/>
      <c r="E113" s="12" t="str">
        <f t="shared" si="5"/>
        <v/>
      </c>
      <c r="F113" s="2"/>
      <c r="G113" s="2"/>
      <c r="H113" s="2"/>
      <c r="I113" s="2"/>
      <c r="J113" s="2"/>
      <c r="K113" s="2"/>
      <c r="L113" s="2"/>
    </row>
    <row r="114" spans="2:12" ht="15.75" thickBot="1" x14ac:dyDescent="0.3">
      <c r="B114" s="1">
        <v>107</v>
      </c>
      <c r="C114" s="2"/>
      <c r="D114" s="2"/>
      <c r="E114" s="12" t="str">
        <f t="shared" si="5"/>
        <v/>
      </c>
      <c r="F114" s="2"/>
      <c r="G114" s="2"/>
      <c r="H114" s="2"/>
      <c r="I114" s="2"/>
      <c r="J114" s="2"/>
      <c r="K114" s="2"/>
      <c r="L114" s="2"/>
    </row>
    <row r="115" spans="2:12" ht="15.75" thickBot="1" x14ac:dyDescent="0.3">
      <c r="B115" s="1">
        <v>108</v>
      </c>
      <c r="C115" s="2"/>
      <c r="D115" s="2"/>
      <c r="E115" s="12" t="str">
        <f t="shared" si="5"/>
        <v/>
      </c>
      <c r="F115" s="2"/>
      <c r="G115" s="2"/>
      <c r="H115" s="2"/>
      <c r="I115" s="2"/>
      <c r="J115" s="2"/>
      <c r="K115" s="2"/>
      <c r="L115" s="2"/>
    </row>
    <row r="116" spans="2:12" ht="15.75" thickBot="1" x14ac:dyDescent="0.3">
      <c r="B116" s="1">
        <v>109</v>
      </c>
      <c r="C116" s="2"/>
      <c r="D116" s="2"/>
      <c r="E116" s="12" t="str">
        <f t="shared" si="5"/>
        <v/>
      </c>
      <c r="F116" s="2"/>
      <c r="G116" s="2"/>
      <c r="H116" s="2"/>
      <c r="I116" s="2"/>
      <c r="J116" s="2"/>
      <c r="K116" s="2"/>
      <c r="L116" s="2"/>
    </row>
    <row r="117" spans="2:12" ht="15.75" thickBot="1" x14ac:dyDescent="0.3">
      <c r="B117" s="1">
        <v>110</v>
      </c>
      <c r="C117" s="2"/>
      <c r="D117" s="2"/>
      <c r="E117" s="12" t="str">
        <f t="shared" si="5"/>
        <v/>
      </c>
      <c r="F117" s="2"/>
      <c r="G117" s="2"/>
      <c r="H117" s="2"/>
      <c r="I117" s="2"/>
      <c r="J117" s="2"/>
      <c r="K117" s="2"/>
      <c r="L117" s="2"/>
    </row>
    <row r="118" spans="2:12" ht="15.75" thickBot="1" x14ac:dyDescent="0.3">
      <c r="B118" s="1">
        <v>111</v>
      </c>
      <c r="C118" s="2"/>
      <c r="D118" s="2"/>
      <c r="E118" s="12" t="str">
        <f t="shared" si="5"/>
        <v/>
      </c>
      <c r="F118" s="2"/>
      <c r="G118" s="2"/>
      <c r="H118" s="2"/>
      <c r="I118" s="2"/>
      <c r="J118" s="2"/>
      <c r="K118" s="2"/>
      <c r="L118" s="2"/>
    </row>
    <row r="119" spans="2:12" ht="15.75" thickBot="1" x14ac:dyDescent="0.3">
      <c r="B119" s="1">
        <v>112</v>
      </c>
      <c r="C119" s="2"/>
      <c r="D119" s="2"/>
      <c r="E119" s="12" t="str">
        <f t="shared" si="5"/>
        <v/>
      </c>
      <c r="F119" s="2"/>
      <c r="G119" s="2"/>
      <c r="H119" s="2"/>
      <c r="I119" s="2"/>
      <c r="J119" s="2"/>
      <c r="K119" s="2"/>
      <c r="L119" s="2"/>
    </row>
    <row r="120" spans="2:12" ht="15.75" thickBot="1" x14ac:dyDescent="0.3">
      <c r="B120" s="1">
        <v>113</v>
      </c>
      <c r="C120" s="2"/>
      <c r="D120" s="2"/>
      <c r="E120" s="12" t="str">
        <f t="shared" si="5"/>
        <v/>
      </c>
      <c r="F120" s="2"/>
      <c r="G120" s="2"/>
      <c r="H120" s="2"/>
      <c r="I120" s="2"/>
      <c r="J120" s="2"/>
      <c r="K120" s="2"/>
      <c r="L120" s="2"/>
    </row>
    <row r="121" spans="2:12" ht="15.75" thickBot="1" x14ac:dyDescent="0.3">
      <c r="B121" s="1">
        <v>114</v>
      </c>
      <c r="C121" s="2"/>
      <c r="D121" s="2"/>
      <c r="E121" s="12" t="str">
        <f t="shared" si="5"/>
        <v/>
      </c>
      <c r="F121" s="2"/>
      <c r="G121" s="2"/>
      <c r="H121" s="2"/>
      <c r="I121" s="2"/>
      <c r="J121" s="2"/>
      <c r="K121" s="2"/>
      <c r="L121" s="2"/>
    </row>
    <row r="122" spans="2:12" ht="15.75" thickBot="1" x14ac:dyDescent="0.3">
      <c r="B122" s="1">
        <v>115</v>
      </c>
      <c r="C122" s="2"/>
      <c r="D122" s="2"/>
      <c r="E122" s="12" t="str">
        <f t="shared" si="5"/>
        <v/>
      </c>
      <c r="F122" s="2"/>
      <c r="G122" s="2"/>
      <c r="H122" s="2"/>
      <c r="I122" s="2"/>
      <c r="J122" s="2"/>
      <c r="K122" s="2"/>
      <c r="L122" s="2"/>
    </row>
    <row r="123" spans="2:12" ht="15.75" thickBot="1" x14ac:dyDescent="0.3">
      <c r="B123" s="1">
        <v>116</v>
      </c>
      <c r="C123" s="2"/>
      <c r="D123" s="2"/>
      <c r="E123" s="12" t="str">
        <f t="shared" si="5"/>
        <v/>
      </c>
      <c r="F123" s="2"/>
      <c r="G123" s="2"/>
      <c r="H123" s="2"/>
      <c r="I123" s="2"/>
      <c r="J123" s="2"/>
      <c r="K123" s="2"/>
      <c r="L123" s="2"/>
    </row>
    <row r="124" spans="2:12" ht="15.75" thickBot="1" x14ac:dyDescent="0.3">
      <c r="B124" s="1">
        <v>117</v>
      </c>
      <c r="C124" s="2"/>
      <c r="D124" s="2"/>
      <c r="E124" s="12" t="str">
        <f t="shared" si="5"/>
        <v/>
      </c>
      <c r="F124" s="2"/>
      <c r="G124" s="2"/>
      <c r="H124" s="2"/>
      <c r="I124" s="2"/>
      <c r="J124" s="2"/>
      <c r="K124" s="2"/>
      <c r="L124" s="2"/>
    </row>
    <row r="125" spans="2:12" ht="15.75" thickBot="1" x14ac:dyDescent="0.3">
      <c r="B125" s="1">
        <v>118</v>
      </c>
      <c r="C125" s="2"/>
      <c r="D125" s="2"/>
      <c r="E125" s="12" t="str">
        <f t="shared" si="5"/>
        <v/>
      </c>
      <c r="F125" s="2"/>
      <c r="G125" s="2"/>
      <c r="H125" s="2"/>
      <c r="I125" s="2"/>
      <c r="J125" s="2"/>
      <c r="K125" s="2"/>
      <c r="L125" s="2"/>
    </row>
    <row r="126" spans="2:12" ht="15.75" thickBot="1" x14ac:dyDescent="0.3">
      <c r="B126" s="1">
        <v>119</v>
      </c>
      <c r="C126" s="2"/>
      <c r="D126" s="2"/>
      <c r="E126" s="12" t="str">
        <f t="shared" si="5"/>
        <v/>
      </c>
      <c r="F126" s="2"/>
      <c r="G126" s="2"/>
      <c r="H126" s="2"/>
      <c r="I126" s="2"/>
      <c r="J126" s="2"/>
      <c r="K126" s="2"/>
      <c r="L126" s="2"/>
    </row>
    <row r="127" spans="2:12" ht="15.75" thickBot="1" x14ac:dyDescent="0.3">
      <c r="B127" s="1">
        <v>120</v>
      </c>
      <c r="C127" s="2"/>
      <c r="D127" s="2"/>
      <c r="E127" s="12" t="str">
        <f t="shared" si="5"/>
        <v/>
      </c>
      <c r="F127" s="2"/>
      <c r="G127" s="2"/>
      <c r="H127" s="2"/>
      <c r="I127" s="2"/>
      <c r="J127" s="2"/>
      <c r="K127" s="2"/>
      <c r="L127" s="2"/>
    </row>
    <row r="128" spans="2:12" ht="15.75" thickBot="1" x14ac:dyDescent="0.3">
      <c r="B128" s="1">
        <v>121</v>
      </c>
      <c r="C128" s="2"/>
      <c r="D128" s="2"/>
      <c r="E128" s="12" t="str">
        <f t="shared" si="5"/>
        <v/>
      </c>
      <c r="F128" s="2"/>
      <c r="G128" s="2"/>
      <c r="H128" s="2"/>
      <c r="I128" s="2"/>
      <c r="J128" s="2"/>
      <c r="K128" s="2"/>
      <c r="L128" s="2"/>
    </row>
    <row r="129" spans="2:12" ht="15.75" thickBot="1" x14ac:dyDescent="0.3">
      <c r="B129" s="1">
        <v>122</v>
      </c>
      <c r="C129" s="2"/>
      <c r="D129" s="2"/>
      <c r="E129" s="12" t="str">
        <f t="shared" si="5"/>
        <v/>
      </c>
      <c r="F129" s="2"/>
      <c r="G129" s="2"/>
      <c r="H129" s="2"/>
      <c r="I129" s="2"/>
      <c r="J129" s="2"/>
      <c r="K129" s="2"/>
      <c r="L129" s="2"/>
    </row>
    <row r="130" spans="2:12" ht="15.75" thickBot="1" x14ac:dyDescent="0.3">
      <c r="B130" s="1">
        <v>123</v>
      </c>
      <c r="C130" s="2"/>
      <c r="D130" s="2"/>
      <c r="E130" s="12" t="str">
        <f t="shared" si="5"/>
        <v/>
      </c>
      <c r="F130" s="2"/>
      <c r="G130" s="2"/>
      <c r="H130" s="2"/>
      <c r="I130" s="2"/>
      <c r="J130" s="2"/>
      <c r="K130" s="2"/>
      <c r="L130" s="2"/>
    </row>
    <row r="131" spans="2:12" ht="15.75" thickBot="1" x14ac:dyDescent="0.3">
      <c r="B131" s="1">
        <v>124</v>
      </c>
      <c r="C131" s="2"/>
      <c r="D131" s="2"/>
      <c r="E131" s="12" t="str">
        <f t="shared" si="5"/>
        <v/>
      </c>
      <c r="F131" s="2"/>
      <c r="G131" s="2"/>
      <c r="H131" s="2"/>
      <c r="I131" s="2"/>
      <c r="J131" s="2"/>
      <c r="K131" s="2"/>
      <c r="L131" s="2"/>
    </row>
    <row r="132" spans="2:12" ht="15.75" thickBot="1" x14ac:dyDescent="0.3">
      <c r="B132" s="1">
        <v>125</v>
      </c>
      <c r="C132" s="2"/>
      <c r="D132" s="2"/>
      <c r="E132" s="12" t="str">
        <f t="shared" si="5"/>
        <v/>
      </c>
      <c r="F132" s="2"/>
      <c r="G132" s="2"/>
      <c r="H132" s="2"/>
      <c r="I132" s="2"/>
      <c r="J132" s="2"/>
      <c r="K132" s="2"/>
      <c r="L132" s="2"/>
    </row>
    <row r="133" spans="2:12" ht="15.75" thickBot="1" x14ac:dyDescent="0.3">
      <c r="B133" s="1">
        <v>126</v>
      </c>
      <c r="C133" s="2"/>
      <c r="D133" s="2"/>
      <c r="E133" s="12" t="str">
        <f t="shared" si="5"/>
        <v/>
      </c>
      <c r="F133" s="2"/>
      <c r="G133" s="2"/>
      <c r="H133" s="2"/>
      <c r="I133" s="2"/>
      <c r="J133" s="2"/>
      <c r="K133" s="2"/>
      <c r="L133" s="2"/>
    </row>
    <row r="134" spans="2:12" ht="15.75" thickBot="1" x14ac:dyDescent="0.3">
      <c r="B134" s="1">
        <v>127</v>
      </c>
      <c r="C134" s="2"/>
      <c r="D134" s="2"/>
      <c r="E134" s="12" t="str">
        <f t="shared" si="5"/>
        <v/>
      </c>
      <c r="F134" s="2"/>
      <c r="G134" s="2"/>
      <c r="H134" s="2"/>
      <c r="I134" s="2"/>
      <c r="J134" s="2"/>
      <c r="K134" s="2"/>
      <c r="L134" s="2"/>
    </row>
    <row r="135" spans="2:12" ht="15.75" thickBot="1" x14ac:dyDescent="0.3">
      <c r="B135" s="1">
        <v>128</v>
      </c>
      <c r="C135" s="2"/>
      <c r="D135" s="2"/>
      <c r="E135" s="12" t="str">
        <f t="shared" si="5"/>
        <v/>
      </c>
      <c r="F135" s="2"/>
      <c r="G135" s="2"/>
      <c r="H135" s="2"/>
      <c r="I135" s="2"/>
      <c r="J135" s="2"/>
      <c r="K135" s="2"/>
      <c r="L135" s="2"/>
    </row>
    <row r="136" spans="2:12" ht="15.75" thickBot="1" x14ac:dyDescent="0.3">
      <c r="B136" s="1">
        <v>129</v>
      </c>
      <c r="C136" s="2"/>
      <c r="D136" s="2"/>
      <c r="E136" s="12" t="str">
        <f t="shared" ref="E136:E199" si="6">IF(ISNA(VLOOKUP(D136,TYW,2,FALSE)),"",VLOOKUP(D136,TYW,2,FALSE))</f>
        <v/>
      </c>
      <c r="F136" s="2"/>
      <c r="G136" s="2"/>
      <c r="H136" s="2"/>
      <c r="I136" s="2"/>
      <c r="J136" s="2"/>
      <c r="K136" s="2"/>
      <c r="L136" s="2"/>
    </row>
    <row r="137" spans="2:12" ht="15.75" thickBot="1" x14ac:dyDescent="0.3">
      <c r="B137" s="1">
        <v>130</v>
      </c>
      <c r="C137" s="2"/>
      <c r="D137" s="2"/>
      <c r="E137" s="12" t="str">
        <f t="shared" si="6"/>
        <v/>
      </c>
      <c r="F137" s="2"/>
      <c r="G137" s="2"/>
      <c r="H137" s="2"/>
      <c r="I137" s="2"/>
      <c r="J137" s="2"/>
      <c r="K137" s="2"/>
      <c r="L137" s="2"/>
    </row>
    <row r="138" spans="2:12" ht="15.75" thickBot="1" x14ac:dyDescent="0.3">
      <c r="B138" s="1">
        <v>131</v>
      </c>
      <c r="C138" s="2"/>
      <c r="D138" s="2"/>
      <c r="E138" s="12" t="str">
        <f t="shared" si="6"/>
        <v/>
      </c>
      <c r="F138" s="2"/>
      <c r="G138" s="2"/>
      <c r="H138" s="2"/>
      <c r="I138" s="2"/>
      <c r="J138" s="2"/>
      <c r="K138" s="2"/>
      <c r="L138" s="2"/>
    </row>
    <row r="139" spans="2:12" ht="15.75" thickBot="1" x14ac:dyDescent="0.3">
      <c r="B139" s="1">
        <v>132</v>
      </c>
      <c r="C139" s="2"/>
      <c r="D139" s="2"/>
      <c r="E139" s="12" t="str">
        <f t="shared" si="6"/>
        <v/>
      </c>
      <c r="F139" s="2"/>
      <c r="G139" s="2"/>
      <c r="H139" s="2"/>
      <c r="I139" s="2"/>
      <c r="J139" s="2"/>
      <c r="K139" s="2"/>
      <c r="L139" s="2"/>
    </row>
    <row r="140" spans="2:12" ht="15.75" thickBot="1" x14ac:dyDescent="0.3">
      <c r="B140" s="1">
        <v>133</v>
      </c>
      <c r="C140" s="2"/>
      <c r="D140" s="2"/>
      <c r="E140" s="12" t="str">
        <f t="shared" si="6"/>
        <v/>
      </c>
      <c r="F140" s="2"/>
      <c r="G140" s="2"/>
      <c r="H140" s="2"/>
      <c r="I140" s="2"/>
      <c r="J140" s="2"/>
      <c r="K140" s="2"/>
      <c r="L140" s="2"/>
    </row>
    <row r="141" spans="2:12" ht="15.75" thickBot="1" x14ac:dyDescent="0.3">
      <c r="B141" s="1">
        <v>134</v>
      </c>
      <c r="C141" s="2"/>
      <c r="D141" s="2"/>
      <c r="E141" s="12" t="str">
        <f t="shared" si="6"/>
        <v/>
      </c>
      <c r="F141" s="2"/>
      <c r="G141" s="2"/>
      <c r="H141" s="2"/>
      <c r="I141" s="2"/>
      <c r="J141" s="2"/>
      <c r="K141" s="2"/>
      <c r="L141" s="2"/>
    </row>
    <row r="142" spans="2:12" ht="15.75" thickBot="1" x14ac:dyDescent="0.3">
      <c r="B142" s="1">
        <v>135</v>
      </c>
      <c r="C142" s="2"/>
      <c r="D142" s="2"/>
      <c r="E142" s="12" t="str">
        <f t="shared" si="6"/>
        <v/>
      </c>
      <c r="F142" s="2"/>
      <c r="G142" s="2"/>
      <c r="H142" s="2"/>
      <c r="I142" s="2"/>
      <c r="J142" s="2"/>
      <c r="K142" s="2"/>
      <c r="L142" s="2"/>
    </row>
    <row r="143" spans="2:12" ht="15.75" thickBot="1" x14ac:dyDescent="0.3">
      <c r="B143" s="1">
        <v>136</v>
      </c>
      <c r="C143" s="2"/>
      <c r="D143" s="2"/>
      <c r="E143" s="12" t="str">
        <f t="shared" si="6"/>
        <v/>
      </c>
      <c r="F143" s="2"/>
      <c r="G143" s="2"/>
      <c r="H143" s="2"/>
      <c r="I143" s="2"/>
      <c r="J143" s="2"/>
      <c r="K143" s="2"/>
      <c r="L143" s="2"/>
    </row>
    <row r="144" spans="2:12" ht="15.75" thickBot="1" x14ac:dyDescent="0.3">
      <c r="B144" s="1">
        <v>137</v>
      </c>
      <c r="C144" s="2"/>
      <c r="D144" s="2"/>
      <c r="E144" s="12" t="str">
        <f t="shared" si="6"/>
        <v/>
      </c>
      <c r="F144" s="2"/>
      <c r="G144" s="2"/>
      <c r="H144" s="2"/>
      <c r="I144" s="2"/>
      <c r="J144" s="2"/>
      <c r="K144" s="2"/>
      <c r="L144" s="2"/>
    </row>
    <row r="145" spans="2:12" ht="15.75" thickBot="1" x14ac:dyDescent="0.3">
      <c r="B145" s="1">
        <v>138</v>
      </c>
      <c r="C145" s="2"/>
      <c r="D145" s="2"/>
      <c r="E145" s="12" t="str">
        <f t="shared" si="6"/>
        <v/>
      </c>
      <c r="F145" s="2"/>
      <c r="G145" s="2"/>
      <c r="H145" s="2"/>
      <c r="I145" s="2"/>
      <c r="J145" s="2"/>
      <c r="K145" s="2"/>
      <c r="L145" s="2"/>
    </row>
    <row r="146" spans="2:12" ht="15.75" thickBot="1" x14ac:dyDescent="0.3">
      <c r="B146" s="1">
        <v>139</v>
      </c>
      <c r="C146" s="2"/>
      <c r="D146" s="2"/>
      <c r="E146" s="12" t="str">
        <f t="shared" si="6"/>
        <v/>
      </c>
      <c r="F146" s="2"/>
      <c r="G146" s="2"/>
      <c r="H146" s="2"/>
      <c r="I146" s="2"/>
      <c r="J146" s="2"/>
      <c r="K146" s="2"/>
      <c r="L146" s="2"/>
    </row>
    <row r="147" spans="2:12" ht="15.75" thickBot="1" x14ac:dyDescent="0.3">
      <c r="B147" s="1">
        <v>140</v>
      </c>
      <c r="C147" s="2"/>
      <c r="D147" s="2"/>
      <c r="E147" s="12" t="str">
        <f t="shared" si="6"/>
        <v/>
      </c>
      <c r="F147" s="2"/>
      <c r="G147" s="2"/>
      <c r="H147" s="2"/>
      <c r="I147" s="2"/>
      <c r="J147" s="2"/>
      <c r="K147" s="2"/>
      <c r="L147" s="2"/>
    </row>
    <row r="148" spans="2:12" ht="15.75" thickBot="1" x14ac:dyDescent="0.3">
      <c r="B148" s="1">
        <v>141</v>
      </c>
      <c r="C148" s="2"/>
      <c r="D148" s="2"/>
      <c r="E148" s="12" t="str">
        <f t="shared" si="6"/>
        <v/>
      </c>
      <c r="F148" s="2"/>
      <c r="G148" s="2"/>
      <c r="H148" s="2"/>
      <c r="I148" s="2"/>
      <c r="J148" s="2"/>
      <c r="K148" s="2"/>
      <c r="L148" s="2"/>
    </row>
    <row r="149" spans="2:12" ht="15.75" thickBot="1" x14ac:dyDescent="0.3">
      <c r="B149" s="1">
        <v>142</v>
      </c>
      <c r="C149" s="2"/>
      <c r="D149" s="2"/>
      <c r="E149" s="12" t="str">
        <f t="shared" si="6"/>
        <v/>
      </c>
      <c r="F149" s="2"/>
      <c r="G149" s="2"/>
      <c r="H149" s="2"/>
      <c r="I149" s="2"/>
      <c r="J149" s="2"/>
      <c r="K149" s="2"/>
      <c r="L149" s="2"/>
    </row>
    <row r="150" spans="2:12" ht="15.75" thickBot="1" x14ac:dyDescent="0.3">
      <c r="B150" s="1">
        <v>143</v>
      </c>
      <c r="C150" s="2"/>
      <c r="D150" s="2"/>
      <c r="E150" s="12" t="str">
        <f t="shared" si="6"/>
        <v/>
      </c>
      <c r="F150" s="2"/>
      <c r="G150" s="2"/>
      <c r="H150" s="2"/>
      <c r="I150" s="2"/>
      <c r="J150" s="2"/>
      <c r="K150" s="2"/>
      <c r="L150" s="2"/>
    </row>
    <row r="151" spans="2:12" ht="15.75" thickBot="1" x14ac:dyDescent="0.3">
      <c r="B151" s="1">
        <v>144</v>
      </c>
      <c r="C151" s="2"/>
      <c r="D151" s="2"/>
      <c r="E151" s="12" t="str">
        <f t="shared" si="6"/>
        <v/>
      </c>
      <c r="F151" s="2"/>
      <c r="G151" s="2"/>
      <c r="H151" s="2"/>
      <c r="I151" s="2"/>
      <c r="J151" s="2"/>
      <c r="K151" s="2"/>
      <c r="L151" s="2"/>
    </row>
    <row r="152" spans="2:12" ht="15.75" thickBot="1" x14ac:dyDescent="0.3">
      <c r="B152" s="1">
        <v>145</v>
      </c>
      <c r="C152" s="2"/>
      <c r="D152" s="2"/>
      <c r="E152" s="12" t="str">
        <f t="shared" si="6"/>
        <v/>
      </c>
      <c r="F152" s="2"/>
      <c r="G152" s="2"/>
      <c r="H152" s="2"/>
      <c r="I152" s="2"/>
      <c r="J152" s="2"/>
      <c r="K152" s="2"/>
      <c r="L152" s="2"/>
    </row>
    <row r="153" spans="2:12" ht="15.75" thickBot="1" x14ac:dyDescent="0.3">
      <c r="B153" s="1">
        <v>146</v>
      </c>
      <c r="C153" s="2"/>
      <c r="D153" s="2"/>
      <c r="E153" s="12" t="str">
        <f t="shared" si="6"/>
        <v/>
      </c>
      <c r="F153" s="2"/>
      <c r="G153" s="2"/>
      <c r="H153" s="2"/>
      <c r="I153" s="2"/>
      <c r="J153" s="2"/>
      <c r="K153" s="2"/>
      <c r="L153" s="2"/>
    </row>
    <row r="154" spans="2:12" ht="15.75" thickBot="1" x14ac:dyDescent="0.3">
      <c r="B154" s="1">
        <v>147</v>
      </c>
      <c r="C154" s="2"/>
      <c r="D154" s="2"/>
      <c r="E154" s="12" t="str">
        <f t="shared" si="6"/>
        <v/>
      </c>
      <c r="F154" s="2"/>
      <c r="G154" s="2"/>
      <c r="H154" s="2"/>
      <c r="I154" s="2"/>
      <c r="J154" s="2"/>
      <c r="K154" s="2"/>
      <c r="L154" s="2"/>
    </row>
    <row r="155" spans="2:12" ht="15.75" thickBot="1" x14ac:dyDescent="0.3">
      <c r="B155" s="1">
        <v>148</v>
      </c>
      <c r="C155" s="2"/>
      <c r="D155" s="2"/>
      <c r="E155" s="12" t="str">
        <f t="shared" si="6"/>
        <v/>
      </c>
      <c r="F155" s="2"/>
      <c r="G155" s="2"/>
      <c r="H155" s="2"/>
      <c r="I155" s="2"/>
      <c r="J155" s="2"/>
      <c r="K155" s="2"/>
      <c r="L155" s="2"/>
    </row>
    <row r="156" spans="2:12" ht="15.75" thickBot="1" x14ac:dyDescent="0.3">
      <c r="B156" s="1">
        <v>149</v>
      </c>
      <c r="C156" s="2"/>
      <c r="D156" s="2"/>
      <c r="E156" s="12" t="str">
        <f t="shared" si="6"/>
        <v/>
      </c>
      <c r="F156" s="2"/>
      <c r="G156" s="2"/>
      <c r="H156" s="2"/>
      <c r="I156" s="2"/>
      <c r="J156" s="2"/>
      <c r="K156" s="2"/>
      <c r="L156" s="2"/>
    </row>
    <row r="157" spans="2:12" ht="15.75" thickBot="1" x14ac:dyDescent="0.3">
      <c r="B157" s="1">
        <v>150</v>
      </c>
      <c r="C157" s="2"/>
      <c r="D157" s="2"/>
      <c r="E157" s="12" t="str">
        <f t="shared" si="6"/>
        <v/>
      </c>
      <c r="F157" s="2"/>
      <c r="G157" s="2"/>
      <c r="H157" s="2"/>
      <c r="I157" s="2"/>
      <c r="J157" s="2"/>
      <c r="K157" s="2"/>
      <c r="L157" s="2"/>
    </row>
    <row r="158" spans="2:12" ht="15.75" thickBot="1" x14ac:dyDescent="0.3">
      <c r="B158" s="1">
        <v>151</v>
      </c>
      <c r="C158" s="2"/>
      <c r="D158" s="2"/>
      <c r="E158" s="12" t="str">
        <f t="shared" si="6"/>
        <v/>
      </c>
      <c r="F158" s="2"/>
      <c r="G158" s="2"/>
      <c r="H158" s="2"/>
      <c r="I158" s="2"/>
      <c r="J158" s="2"/>
      <c r="K158" s="2"/>
      <c r="L158" s="2"/>
    </row>
    <row r="159" spans="2:12" ht="15.75" thickBot="1" x14ac:dyDescent="0.3">
      <c r="B159" s="1">
        <v>152</v>
      </c>
      <c r="C159" s="2"/>
      <c r="D159" s="2"/>
      <c r="E159" s="12" t="str">
        <f t="shared" si="6"/>
        <v/>
      </c>
      <c r="F159" s="2"/>
      <c r="G159" s="2"/>
      <c r="H159" s="2"/>
      <c r="I159" s="2"/>
      <c r="J159" s="2"/>
      <c r="K159" s="2"/>
      <c r="L159" s="2"/>
    </row>
    <row r="160" spans="2:12" ht="15.75" thickBot="1" x14ac:dyDescent="0.3">
      <c r="B160" s="1">
        <v>153</v>
      </c>
      <c r="C160" s="2"/>
      <c r="D160" s="2"/>
      <c r="E160" s="12" t="str">
        <f t="shared" si="6"/>
        <v/>
      </c>
      <c r="F160" s="2"/>
      <c r="G160" s="2"/>
      <c r="H160" s="2"/>
      <c r="I160" s="2"/>
      <c r="J160" s="2"/>
      <c r="K160" s="2"/>
      <c r="L160" s="2"/>
    </row>
    <row r="161" spans="2:12" ht="15.75" thickBot="1" x14ac:dyDescent="0.3">
      <c r="B161" s="1">
        <v>154</v>
      </c>
      <c r="C161" s="2"/>
      <c r="D161" s="2"/>
      <c r="E161" s="12" t="str">
        <f t="shared" si="6"/>
        <v/>
      </c>
      <c r="F161" s="2"/>
      <c r="G161" s="2"/>
      <c r="H161" s="2"/>
      <c r="I161" s="2"/>
      <c r="J161" s="2"/>
      <c r="K161" s="2"/>
      <c r="L161" s="2"/>
    </row>
    <row r="162" spans="2:12" ht="15.75" thickBot="1" x14ac:dyDescent="0.3">
      <c r="B162" s="1">
        <v>155</v>
      </c>
      <c r="C162" s="2"/>
      <c r="D162" s="2"/>
      <c r="E162" s="12" t="str">
        <f t="shared" si="6"/>
        <v/>
      </c>
      <c r="F162" s="2"/>
      <c r="G162" s="2"/>
      <c r="H162" s="2"/>
      <c r="I162" s="2"/>
      <c r="J162" s="2"/>
      <c r="K162" s="2"/>
      <c r="L162" s="2"/>
    </row>
    <row r="163" spans="2:12" ht="15.75" thickBot="1" x14ac:dyDescent="0.3">
      <c r="B163" s="1">
        <v>156</v>
      </c>
      <c r="C163" s="2"/>
      <c r="D163" s="2"/>
      <c r="E163" s="12" t="str">
        <f t="shared" si="6"/>
        <v/>
      </c>
      <c r="F163" s="2"/>
      <c r="G163" s="2"/>
      <c r="H163" s="2"/>
      <c r="I163" s="2"/>
      <c r="J163" s="2"/>
      <c r="K163" s="2"/>
      <c r="L163" s="2"/>
    </row>
    <row r="164" spans="2:12" ht="15.75" thickBot="1" x14ac:dyDescent="0.3">
      <c r="B164" s="1">
        <v>157</v>
      </c>
      <c r="C164" s="2"/>
      <c r="D164" s="2"/>
      <c r="E164" s="12" t="str">
        <f t="shared" si="6"/>
        <v/>
      </c>
      <c r="F164" s="2"/>
      <c r="G164" s="2"/>
      <c r="H164" s="2"/>
      <c r="I164" s="2"/>
      <c r="J164" s="2"/>
      <c r="K164" s="2"/>
      <c r="L164" s="2"/>
    </row>
    <row r="165" spans="2:12" ht="15.75" thickBot="1" x14ac:dyDescent="0.3">
      <c r="B165" s="1">
        <v>158</v>
      </c>
      <c r="C165" s="2"/>
      <c r="D165" s="2"/>
      <c r="E165" s="12" t="str">
        <f t="shared" si="6"/>
        <v/>
      </c>
      <c r="F165" s="2"/>
      <c r="G165" s="2"/>
      <c r="H165" s="2"/>
      <c r="I165" s="2"/>
      <c r="J165" s="2"/>
      <c r="K165" s="2"/>
      <c r="L165" s="2"/>
    </row>
    <row r="166" spans="2:12" ht="15.75" thickBot="1" x14ac:dyDescent="0.3">
      <c r="B166" s="1">
        <v>159</v>
      </c>
      <c r="C166" s="2"/>
      <c r="D166" s="2"/>
      <c r="E166" s="12" t="str">
        <f t="shared" si="6"/>
        <v/>
      </c>
      <c r="F166" s="2"/>
      <c r="G166" s="2"/>
      <c r="H166" s="2"/>
      <c r="I166" s="2"/>
      <c r="J166" s="2"/>
      <c r="K166" s="2"/>
      <c r="L166" s="2"/>
    </row>
    <row r="167" spans="2:12" ht="15.75" thickBot="1" x14ac:dyDescent="0.3">
      <c r="B167" s="1">
        <v>160</v>
      </c>
      <c r="C167" s="2"/>
      <c r="D167" s="2"/>
      <c r="E167" s="12" t="str">
        <f t="shared" si="6"/>
        <v/>
      </c>
      <c r="F167" s="2"/>
      <c r="G167" s="2"/>
      <c r="H167" s="2"/>
      <c r="I167" s="2"/>
      <c r="J167" s="2"/>
      <c r="K167" s="2"/>
      <c r="L167" s="2"/>
    </row>
    <row r="168" spans="2:12" ht="15.75" thickBot="1" x14ac:dyDescent="0.3">
      <c r="B168" s="1">
        <v>161</v>
      </c>
      <c r="C168" s="2"/>
      <c r="D168" s="2"/>
      <c r="E168" s="12" t="str">
        <f t="shared" si="6"/>
        <v/>
      </c>
      <c r="F168" s="2"/>
      <c r="G168" s="2"/>
      <c r="H168" s="2"/>
      <c r="I168" s="2"/>
      <c r="J168" s="2"/>
      <c r="K168" s="2"/>
      <c r="L168" s="2"/>
    </row>
    <row r="169" spans="2:12" ht="15.75" thickBot="1" x14ac:dyDescent="0.3">
      <c r="B169" s="1">
        <v>162</v>
      </c>
      <c r="C169" s="2"/>
      <c r="D169" s="2"/>
      <c r="E169" s="12" t="str">
        <f t="shared" si="6"/>
        <v/>
      </c>
      <c r="F169" s="2"/>
      <c r="G169" s="2"/>
      <c r="H169" s="2"/>
      <c r="I169" s="2"/>
      <c r="J169" s="2"/>
      <c r="K169" s="2"/>
      <c r="L169" s="2"/>
    </row>
    <row r="170" spans="2:12" ht="15.75" thickBot="1" x14ac:dyDescent="0.3">
      <c r="B170" s="1">
        <v>163</v>
      </c>
      <c r="C170" s="2"/>
      <c r="D170" s="2"/>
      <c r="E170" s="12" t="str">
        <f t="shared" si="6"/>
        <v/>
      </c>
      <c r="F170" s="2"/>
      <c r="G170" s="2"/>
      <c r="H170" s="2"/>
      <c r="I170" s="2"/>
      <c r="J170" s="2"/>
      <c r="K170" s="2"/>
      <c r="L170" s="2"/>
    </row>
    <row r="171" spans="2:12" ht="15.75" thickBot="1" x14ac:dyDescent="0.3">
      <c r="B171" s="1">
        <v>164</v>
      </c>
      <c r="C171" s="2"/>
      <c r="D171" s="2"/>
      <c r="E171" s="12" t="str">
        <f t="shared" si="6"/>
        <v/>
      </c>
      <c r="F171" s="2"/>
      <c r="G171" s="2"/>
      <c r="H171" s="2"/>
      <c r="I171" s="2"/>
      <c r="J171" s="2"/>
      <c r="K171" s="2"/>
      <c r="L171" s="2"/>
    </row>
    <row r="172" spans="2:12" ht="15.75" thickBot="1" x14ac:dyDescent="0.3">
      <c r="B172" s="1">
        <v>165</v>
      </c>
      <c r="C172" s="2"/>
      <c r="D172" s="2"/>
      <c r="E172" s="12" t="str">
        <f t="shared" si="6"/>
        <v/>
      </c>
      <c r="F172" s="2"/>
      <c r="G172" s="2"/>
      <c r="H172" s="2"/>
      <c r="I172" s="2"/>
      <c r="J172" s="2"/>
      <c r="K172" s="2"/>
      <c r="L172" s="2"/>
    </row>
    <row r="173" spans="2:12" ht="15.75" thickBot="1" x14ac:dyDescent="0.3">
      <c r="B173" s="1">
        <v>166</v>
      </c>
      <c r="C173" s="2"/>
      <c r="D173" s="2"/>
      <c r="E173" s="12" t="str">
        <f t="shared" si="6"/>
        <v/>
      </c>
      <c r="F173" s="2"/>
      <c r="G173" s="2"/>
      <c r="H173" s="2"/>
      <c r="I173" s="2"/>
      <c r="J173" s="2"/>
      <c r="K173" s="2"/>
      <c r="L173" s="2"/>
    </row>
    <row r="174" spans="2:12" ht="15.75" thickBot="1" x14ac:dyDescent="0.3">
      <c r="B174" s="1">
        <v>167</v>
      </c>
      <c r="C174" s="2"/>
      <c r="D174" s="2"/>
      <c r="E174" s="12" t="str">
        <f t="shared" si="6"/>
        <v/>
      </c>
      <c r="F174" s="2"/>
      <c r="G174" s="2"/>
      <c r="H174" s="2"/>
      <c r="I174" s="2"/>
      <c r="J174" s="2"/>
      <c r="K174" s="2"/>
      <c r="L174" s="2"/>
    </row>
    <row r="175" spans="2:12" ht="15.75" thickBot="1" x14ac:dyDescent="0.3">
      <c r="B175" s="1">
        <v>168</v>
      </c>
      <c r="C175" s="2"/>
      <c r="D175" s="2"/>
      <c r="E175" s="12" t="str">
        <f t="shared" si="6"/>
        <v/>
      </c>
      <c r="F175" s="2"/>
      <c r="G175" s="2"/>
      <c r="H175" s="2"/>
      <c r="I175" s="2"/>
      <c r="J175" s="2"/>
      <c r="K175" s="2"/>
      <c r="L175" s="2"/>
    </row>
    <row r="176" spans="2:12" ht="15.75" thickBot="1" x14ac:dyDescent="0.3">
      <c r="B176" s="1">
        <v>169</v>
      </c>
      <c r="C176" s="2"/>
      <c r="D176" s="2"/>
      <c r="E176" s="12" t="str">
        <f t="shared" si="6"/>
        <v/>
      </c>
      <c r="F176" s="2"/>
      <c r="G176" s="2"/>
      <c r="H176" s="2"/>
      <c r="I176" s="2"/>
      <c r="J176" s="2"/>
      <c r="K176" s="2"/>
      <c r="L176" s="2"/>
    </row>
    <row r="177" spans="2:12" ht="15.75" thickBot="1" x14ac:dyDescent="0.3">
      <c r="B177" s="1">
        <v>170</v>
      </c>
      <c r="C177" s="2"/>
      <c r="D177" s="2"/>
      <c r="E177" s="12" t="str">
        <f t="shared" si="6"/>
        <v/>
      </c>
      <c r="F177" s="2"/>
      <c r="G177" s="2"/>
      <c r="H177" s="2"/>
      <c r="I177" s="2"/>
      <c r="J177" s="2"/>
      <c r="K177" s="2"/>
      <c r="L177" s="2"/>
    </row>
    <row r="178" spans="2:12" ht="15.75" thickBot="1" x14ac:dyDescent="0.3">
      <c r="B178" s="1">
        <v>171</v>
      </c>
      <c r="C178" s="2"/>
      <c r="D178" s="2"/>
      <c r="E178" s="12" t="str">
        <f t="shared" si="6"/>
        <v/>
      </c>
      <c r="F178" s="2"/>
      <c r="G178" s="2"/>
      <c r="H178" s="2"/>
      <c r="I178" s="2"/>
      <c r="J178" s="2"/>
      <c r="K178" s="2"/>
      <c r="L178" s="2"/>
    </row>
    <row r="179" spans="2:12" ht="15.75" thickBot="1" x14ac:dyDescent="0.3">
      <c r="B179" s="1">
        <v>172</v>
      </c>
      <c r="C179" s="2"/>
      <c r="D179" s="2"/>
      <c r="E179" s="12" t="str">
        <f t="shared" si="6"/>
        <v/>
      </c>
      <c r="F179" s="2"/>
      <c r="G179" s="2"/>
      <c r="H179" s="2"/>
      <c r="I179" s="2"/>
      <c r="J179" s="2"/>
      <c r="K179" s="2"/>
      <c r="L179" s="2"/>
    </row>
    <row r="180" spans="2:12" ht="15.75" thickBot="1" x14ac:dyDescent="0.3">
      <c r="B180" s="1">
        <v>173</v>
      </c>
      <c r="C180" s="2"/>
      <c r="D180" s="2"/>
      <c r="E180" s="12" t="str">
        <f t="shared" si="6"/>
        <v/>
      </c>
      <c r="F180" s="2"/>
      <c r="G180" s="2"/>
      <c r="H180" s="2"/>
      <c r="I180" s="2"/>
      <c r="J180" s="2"/>
      <c r="K180" s="2"/>
      <c r="L180" s="2"/>
    </row>
    <row r="181" spans="2:12" ht="15.75" thickBot="1" x14ac:dyDescent="0.3">
      <c r="B181" s="1">
        <v>174</v>
      </c>
      <c r="C181" s="2"/>
      <c r="D181" s="2"/>
      <c r="E181" s="12" t="str">
        <f t="shared" si="6"/>
        <v/>
      </c>
      <c r="F181" s="2"/>
      <c r="G181" s="2"/>
      <c r="H181" s="2"/>
      <c r="I181" s="2"/>
      <c r="J181" s="2"/>
      <c r="K181" s="2"/>
      <c r="L181" s="2"/>
    </row>
    <row r="182" spans="2:12" ht="15.75" thickBot="1" x14ac:dyDescent="0.3">
      <c r="B182" s="1">
        <v>175</v>
      </c>
      <c r="C182" s="2"/>
      <c r="D182" s="2"/>
      <c r="E182" s="12" t="str">
        <f t="shared" si="6"/>
        <v/>
      </c>
      <c r="F182" s="2"/>
      <c r="G182" s="2"/>
      <c r="H182" s="2"/>
      <c r="I182" s="2"/>
      <c r="J182" s="2"/>
      <c r="K182" s="2"/>
      <c r="L182" s="2"/>
    </row>
    <row r="183" spans="2:12" ht="15.75" thickBot="1" x14ac:dyDescent="0.3">
      <c r="B183" s="1">
        <v>176</v>
      </c>
      <c r="C183" s="2"/>
      <c r="D183" s="2"/>
      <c r="E183" s="12" t="str">
        <f t="shared" si="6"/>
        <v/>
      </c>
      <c r="F183" s="2"/>
      <c r="G183" s="2"/>
      <c r="H183" s="2"/>
      <c r="I183" s="2"/>
      <c r="J183" s="2"/>
      <c r="K183" s="2"/>
      <c r="L183" s="2"/>
    </row>
    <row r="184" spans="2:12" ht="15.75" thickBot="1" x14ac:dyDescent="0.3">
      <c r="B184" s="1">
        <v>177</v>
      </c>
      <c r="C184" s="2"/>
      <c r="D184" s="2"/>
      <c r="E184" s="12" t="str">
        <f t="shared" si="6"/>
        <v/>
      </c>
      <c r="F184" s="2"/>
      <c r="G184" s="2"/>
      <c r="H184" s="2"/>
      <c r="I184" s="2"/>
      <c r="J184" s="2"/>
      <c r="K184" s="2"/>
      <c r="L184" s="2"/>
    </row>
    <row r="185" spans="2:12" ht="15.75" thickBot="1" x14ac:dyDescent="0.3">
      <c r="B185" s="1">
        <v>178</v>
      </c>
      <c r="C185" s="2"/>
      <c r="D185" s="2"/>
      <c r="E185" s="12" t="str">
        <f t="shared" si="6"/>
        <v/>
      </c>
      <c r="F185" s="2"/>
      <c r="G185" s="2"/>
      <c r="H185" s="2"/>
      <c r="I185" s="2"/>
      <c r="J185" s="2"/>
      <c r="K185" s="2"/>
      <c r="L185" s="2"/>
    </row>
    <row r="186" spans="2:12" ht="15.75" thickBot="1" x14ac:dyDescent="0.3">
      <c r="B186" s="1">
        <v>179</v>
      </c>
      <c r="C186" s="2"/>
      <c r="D186" s="2"/>
      <c r="E186" s="12" t="str">
        <f t="shared" si="6"/>
        <v/>
      </c>
      <c r="F186" s="2"/>
      <c r="G186" s="2"/>
      <c r="H186" s="2"/>
      <c r="I186" s="2"/>
      <c r="J186" s="2"/>
      <c r="K186" s="2"/>
      <c r="L186" s="2"/>
    </row>
    <row r="187" spans="2:12" ht="15.75" thickBot="1" x14ac:dyDescent="0.3">
      <c r="B187" s="1">
        <v>180</v>
      </c>
      <c r="C187" s="2"/>
      <c r="D187" s="2"/>
      <c r="E187" s="12" t="str">
        <f t="shared" si="6"/>
        <v/>
      </c>
      <c r="F187" s="2"/>
      <c r="G187" s="2"/>
      <c r="H187" s="2"/>
      <c r="I187" s="2"/>
      <c r="J187" s="2"/>
      <c r="K187" s="2"/>
      <c r="L187" s="2"/>
    </row>
    <row r="188" spans="2:12" ht="15.75" thickBot="1" x14ac:dyDescent="0.3">
      <c r="B188" s="1">
        <v>181</v>
      </c>
      <c r="C188" s="2"/>
      <c r="D188" s="2"/>
      <c r="E188" s="12" t="str">
        <f t="shared" si="6"/>
        <v/>
      </c>
      <c r="F188" s="2"/>
      <c r="G188" s="2"/>
      <c r="H188" s="2"/>
      <c r="I188" s="2"/>
      <c r="J188" s="2"/>
      <c r="K188" s="2"/>
      <c r="L188" s="2"/>
    </row>
    <row r="189" spans="2:12" ht="15.75" thickBot="1" x14ac:dyDescent="0.3">
      <c r="B189" s="1">
        <v>182</v>
      </c>
      <c r="C189" s="2"/>
      <c r="D189" s="2"/>
      <c r="E189" s="12" t="str">
        <f t="shared" si="6"/>
        <v/>
      </c>
      <c r="F189" s="2"/>
      <c r="G189" s="2"/>
      <c r="H189" s="2"/>
      <c r="I189" s="2"/>
      <c r="J189" s="2"/>
      <c r="K189" s="2"/>
      <c r="L189" s="2"/>
    </row>
    <row r="190" spans="2:12" ht="15.75" thickBot="1" x14ac:dyDescent="0.3">
      <c r="B190" s="1">
        <v>183</v>
      </c>
      <c r="C190" s="2"/>
      <c r="D190" s="2"/>
      <c r="E190" s="12" t="str">
        <f t="shared" si="6"/>
        <v/>
      </c>
      <c r="F190" s="2"/>
      <c r="G190" s="2"/>
      <c r="H190" s="2"/>
      <c r="I190" s="2"/>
      <c r="J190" s="2"/>
      <c r="K190" s="2"/>
      <c r="L190" s="2"/>
    </row>
    <row r="191" spans="2:12" ht="15.75" thickBot="1" x14ac:dyDescent="0.3">
      <c r="B191" s="1">
        <v>184</v>
      </c>
      <c r="C191" s="2"/>
      <c r="D191" s="2"/>
      <c r="E191" s="12" t="str">
        <f t="shared" si="6"/>
        <v/>
      </c>
      <c r="F191" s="2"/>
      <c r="G191" s="2"/>
      <c r="H191" s="2"/>
      <c r="I191" s="2"/>
      <c r="J191" s="2"/>
      <c r="K191" s="2"/>
      <c r="L191" s="2"/>
    </row>
    <row r="192" spans="2:12" ht="15.75" thickBot="1" x14ac:dyDescent="0.3">
      <c r="B192" s="1">
        <v>185</v>
      </c>
      <c r="C192" s="2"/>
      <c r="D192" s="2"/>
      <c r="E192" s="12" t="str">
        <f t="shared" si="6"/>
        <v/>
      </c>
      <c r="F192" s="2"/>
      <c r="G192" s="2"/>
      <c r="H192" s="2"/>
      <c r="I192" s="2"/>
      <c r="J192" s="2"/>
      <c r="K192" s="2"/>
      <c r="L192" s="2"/>
    </row>
    <row r="193" spans="2:12" ht="15.75" thickBot="1" x14ac:dyDescent="0.3">
      <c r="B193" s="1">
        <v>186</v>
      </c>
      <c r="C193" s="2"/>
      <c r="D193" s="2"/>
      <c r="E193" s="12" t="str">
        <f t="shared" si="6"/>
        <v/>
      </c>
      <c r="F193" s="2"/>
      <c r="G193" s="2"/>
      <c r="H193" s="2"/>
      <c r="I193" s="2"/>
      <c r="J193" s="2"/>
      <c r="K193" s="2"/>
      <c r="L193" s="2"/>
    </row>
    <row r="194" spans="2:12" ht="15.75" thickBot="1" x14ac:dyDescent="0.3">
      <c r="B194" s="1">
        <v>187</v>
      </c>
      <c r="C194" s="2"/>
      <c r="D194" s="2"/>
      <c r="E194" s="12" t="str">
        <f t="shared" si="6"/>
        <v/>
      </c>
      <c r="F194" s="2"/>
      <c r="G194" s="2"/>
      <c r="H194" s="2"/>
      <c r="I194" s="2"/>
      <c r="J194" s="2"/>
      <c r="K194" s="2"/>
      <c r="L194" s="2"/>
    </row>
    <row r="195" spans="2:12" ht="15.75" thickBot="1" x14ac:dyDescent="0.3">
      <c r="B195" s="1">
        <v>188</v>
      </c>
      <c r="C195" s="2"/>
      <c r="D195" s="2"/>
      <c r="E195" s="12" t="str">
        <f t="shared" si="6"/>
        <v/>
      </c>
      <c r="F195" s="2"/>
      <c r="G195" s="2"/>
      <c r="H195" s="2"/>
      <c r="I195" s="2"/>
      <c r="J195" s="2"/>
      <c r="K195" s="2"/>
      <c r="L195" s="2"/>
    </row>
    <row r="196" spans="2:12" ht="15.75" thickBot="1" x14ac:dyDescent="0.3">
      <c r="B196" s="1">
        <v>189</v>
      </c>
      <c r="C196" s="2"/>
      <c r="D196" s="2"/>
      <c r="E196" s="12" t="str">
        <f t="shared" si="6"/>
        <v/>
      </c>
      <c r="F196" s="2"/>
      <c r="G196" s="2"/>
      <c r="H196" s="2"/>
      <c r="I196" s="2"/>
      <c r="J196" s="2"/>
      <c r="K196" s="2"/>
      <c r="L196" s="2"/>
    </row>
    <row r="197" spans="2:12" ht="15.75" thickBot="1" x14ac:dyDescent="0.3">
      <c r="B197" s="1">
        <v>190</v>
      </c>
      <c r="C197" s="2"/>
      <c r="D197" s="2"/>
      <c r="E197" s="12" t="str">
        <f t="shared" si="6"/>
        <v/>
      </c>
      <c r="F197" s="2"/>
      <c r="G197" s="2"/>
      <c r="H197" s="2"/>
      <c r="I197" s="2"/>
      <c r="J197" s="2"/>
      <c r="K197" s="2"/>
      <c r="L197" s="2"/>
    </row>
    <row r="198" spans="2:12" ht="15.75" thickBot="1" x14ac:dyDescent="0.3">
      <c r="B198" s="1">
        <v>191</v>
      </c>
      <c r="C198" s="2"/>
      <c r="D198" s="2"/>
      <c r="E198" s="12" t="str">
        <f t="shared" si="6"/>
        <v/>
      </c>
      <c r="F198" s="2"/>
      <c r="G198" s="2"/>
      <c r="H198" s="2"/>
      <c r="I198" s="2"/>
      <c r="J198" s="2"/>
      <c r="K198" s="2"/>
      <c r="L198" s="2"/>
    </row>
    <row r="199" spans="2:12" ht="15.75" thickBot="1" x14ac:dyDescent="0.3">
      <c r="B199" s="1">
        <v>192</v>
      </c>
      <c r="C199" s="2"/>
      <c r="D199" s="2"/>
      <c r="E199" s="12" t="str">
        <f t="shared" si="6"/>
        <v/>
      </c>
      <c r="F199" s="2"/>
      <c r="G199" s="2"/>
      <c r="H199" s="2"/>
      <c r="I199" s="2"/>
      <c r="J199" s="2"/>
      <c r="K199" s="2"/>
      <c r="L199" s="2"/>
    </row>
    <row r="200" spans="2:12" ht="15.75" thickBot="1" x14ac:dyDescent="0.3">
      <c r="B200" s="1">
        <v>193</v>
      </c>
      <c r="C200" s="2"/>
      <c r="D200" s="2"/>
      <c r="E200" s="12" t="str">
        <f t="shared" ref="E200:E207" si="7">IF(ISNA(VLOOKUP(D200,TYW,2,FALSE)),"",VLOOKUP(D200,TYW,2,FALSE))</f>
        <v/>
      </c>
      <c r="F200" s="2"/>
      <c r="G200" s="2"/>
      <c r="H200" s="2"/>
      <c r="I200" s="2"/>
      <c r="J200" s="2"/>
      <c r="K200" s="2"/>
      <c r="L200" s="2"/>
    </row>
    <row r="201" spans="2:12" ht="15.75" thickBot="1" x14ac:dyDescent="0.3">
      <c r="B201" s="1">
        <v>194</v>
      </c>
      <c r="C201" s="2"/>
      <c r="D201" s="2"/>
      <c r="E201" s="12" t="str">
        <f t="shared" si="7"/>
        <v/>
      </c>
      <c r="F201" s="2"/>
      <c r="G201" s="2"/>
      <c r="H201" s="2"/>
      <c r="I201" s="2"/>
      <c r="J201" s="2"/>
      <c r="K201" s="2"/>
      <c r="L201" s="2"/>
    </row>
    <row r="202" spans="2:12" ht="15.75" thickBot="1" x14ac:dyDescent="0.3">
      <c r="B202" s="1">
        <v>195</v>
      </c>
      <c r="C202" s="2"/>
      <c r="D202" s="2"/>
      <c r="E202" s="12" t="str">
        <f t="shared" si="7"/>
        <v/>
      </c>
      <c r="F202" s="2"/>
      <c r="G202" s="2"/>
      <c r="H202" s="2"/>
      <c r="I202" s="2"/>
      <c r="J202" s="2"/>
      <c r="K202" s="2"/>
      <c r="L202" s="2"/>
    </row>
    <row r="203" spans="2:12" ht="15.75" thickBot="1" x14ac:dyDescent="0.3">
      <c r="B203" s="1">
        <v>196</v>
      </c>
      <c r="C203" s="2"/>
      <c r="D203" s="2"/>
      <c r="E203" s="12" t="str">
        <f t="shared" si="7"/>
        <v/>
      </c>
      <c r="F203" s="2"/>
      <c r="G203" s="2"/>
      <c r="H203" s="2"/>
      <c r="I203" s="2"/>
      <c r="J203" s="2"/>
      <c r="K203" s="2"/>
      <c r="L203" s="2"/>
    </row>
    <row r="204" spans="2:12" ht="15.75" thickBot="1" x14ac:dyDescent="0.3">
      <c r="B204" s="1">
        <v>197</v>
      </c>
      <c r="C204" s="2"/>
      <c r="D204" s="2"/>
      <c r="E204" s="12" t="str">
        <f t="shared" si="7"/>
        <v/>
      </c>
      <c r="F204" s="2"/>
      <c r="G204" s="2"/>
      <c r="H204" s="2"/>
      <c r="I204" s="2"/>
      <c r="J204" s="2"/>
      <c r="K204" s="2"/>
      <c r="L204" s="2"/>
    </row>
    <row r="205" spans="2:12" ht="15.75" thickBot="1" x14ac:dyDescent="0.3">
      <c r="B205" s="1">
        <v>198</v>
      </c>
      <c r="C205" s="2"/>
      <c r="D205" s="2"/>
      <c r="E205" s="12" t="str">
        <f t="shared" si="7"/>
        <v/>
      </c>
      <c r="F205" s="2"/>
      <c r="G205" s="2"/>
      <c r="H205" s="2"/>
      <c r="I205" s="2"/>
      <c r="J205" s="2"/>
      <c r="K205" s="2"/>
      <c r="L205" s="2"/>
    </row>
    <row r="206" spans="2:12" ht="15.75" thickBot="1" x14ac:dyDescent="0.3">
      <c r="B206" s="1">
        <v>199</v>
      </c>
      <c r="C206" s="2"/>
      <c r="D206" s="2"/>
      <c r="E206" s="12" t="str">
        <f t="shared" si="7"/>
        <v/>
      </c>
      <c r="F206" s="2"/>
      <c r="G206" s="2"/>
      <c r="H206" s="2"/>
      <c r="I206" s="2"/>
      <c r="J206" s="2"/>
      <c r="K206" s="2"/>
      <c r="L206" s="2"/>
    </row>
    <row r="207" spans="2:12" ht="15.75" thickBot="1" x14ac:dyDescent="0.3">
      <c r="B207" s="1">
        <v>200</v>
      </c>
      <c r="C207" s="2"/>
      <c r="D207" s="2"/>
      <c r="E207" s="12" t="str">
        <f t="shared" si="7"/>
        <v/>
      </c>
      <c r="F207" s="2"/>
      <c r="G207" s="2"/>
      <c r="H207" s="2"/>
      <c r="I207" s="2"/>
      <c r="J207" s="2"/>
      <c r="K207" s="2"/>
      <c r="L207" s="2"/>
    </row>
  </sheetData>
  <mergeCells count="11">
    <mergeCell ref="G6:G7"/>
    <mergeCell ref="B6:B7"/>
    <mergeCell ref="C6:C7"/>
    <mergeCell ref="D6:D7"/>
    <mergeCell ref="E6:E7"/>
    <mergeCell ref="F6:F7"/>
    <mergeCell ref="H6:H7"/>
    <mergeCell ref="I6:I7"/>
    <mergeCell ref="J6:J7"/>
    <mergeCell ref="K6:K7"/>
    <mergeCell ref="L6:L7"/>
  </mergeCell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disablePrompts="1" count="4">
        <x14:dataValidation type="list" allowBlank="1" showInputMessage="1" showErrorMessage="1">
          <x14:formula1>
            <xm:f>Sheet2!$D$2:$D$20</xm:f>
          </x14:formula1>
          <xm:sqref>G8:G61</xm:sqref>
        </x14:dataValidation>
        <x14:dataValidation type="list" allowBlank="1" showInputMessage="1" showErrorMessage="1">
          <x14:formula1>
            <xm:f>Sheet2!$F$2:$F$7</xm:f>
          </x14:formula1>
          <xm:sqref>L71:L207 L8:L63 L67</xm:sqref>
        </x14:dataValidation>
        <x14:dataValidation type="list" allowBlank="1" showInputMessage="1" showErrorMessage="1">
          <x14:formula1>
            <xm:f>Sheet2!$A$2:$A$40</xm:f>
          </x14:formula1>
          <xm:sqref>D8:D207</xm:sqref>
        </x14:dataValidation>
        <x14:dataValidation type="list" allowBlank="1" showInputMessage="1" showErrorMessage="1">
          <x14:formula1>
            <xm:f>Sheet2!$D$2:$D$17</xm:f>
          </x14:formula1>
          <xm:sqref>G62:G207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9"/>
  <sheetViews>
    <sheetView workbookViewId="0">
      <selection activeCell="E35" sqref="E35"/>
    </sheetView>
  </sheetViews>
  <sheetFormatPr defaultRowHeight="15" x14ac:dyDescent="0.25"/>
  <cols>
    <col min="2" max="2" width="50.7109375" bestFit="1" customWidth="1"/>
    <col min="4" max="4" width="12.85546875" bestFit="1" customWidth="1"/>
    <col min="5" max="5" width="11.140625" bestFit="1" customWidth="1"/>
    <col min="6" max="6" width="3.85546875" customWidth="1"/>
    <col min="8" max="8" width="20.42578125" bestFit="1" customWidth="1"/>
    <col min="9" max="9" width="20.42578125" customWidth="1"/>
    <col min="10" max="10" width="1.5703125" customWidth="1"/>
    <col min="11" max="11" width="26" bestFit="1" customWidth="1"/>
    <col min="12" max="12" width="6.5703125" bestFit="1" customWidth="1"/>
    <col min="13" max="13" width="24.140625" bestFit="1" customWidth="1"/>
  </cols>
  <sheetData>
    <row r="2" spans="2:14" x14ac:dyDescent="0.25">
      <c r="B2" s="3" t="s">
        <v>186</v>
      </c>
      <c r="C2" s="3" t="s">
        <v>187</v>
      </c>
      <c r="D2" s="3" t="s">
        <v>188</v>
      </c>
      <c r="E2" s="3" t="s">
        <v>189</v>
      </c>
      <c r="G2" s="3" t="s">
        <v>181</v>
      </c>
    </row>
    <row r="3" spans="2:14" x14ac:dyDescent="0.25">
      <c r="B3" t="s">
        <v>190</v>
      </c>
      <c r="C3" s="16">
        <v>7.2</v>
      </c>
      <c r="D3" t="s">
        <v>214</v>
      </c>
      <c r="E3" s="21">
        <v>308.30400000000003</v>
      </c>
      <c r="G3" s="20">
        <f>Sheet3!M8+Sheet3!M25+Sheet3!M41+Sheet3!M48+Sheet3!M54+Sheet3!M57</f>
        <v>29.701426018925737</v>
      </c>
      <c r="H3" t="s">
        <v>17</v>
      </c>
      <c r="I3" s="20">
        <f>G3</f>
        <v>29.701426018925737</v>
      </c>
      <c r="K3" t="s">
        <v>19</v>
      </c>
      <c r="L3" s="20">
        <f>Sheet3!M8+Sheet3!M11+Sheet3!M16+Sheet3!M18+Sheet3!M19+Sheet3!M21+Sheet3!M25+Sheet3!M27+Sheet3!M29+Sheet3!M43+Sheet3!M44+Sheet3!M47+Sheet3!M48+Sheet3!M49+Sheet3!M50+Sheet3!M53+Sheet3!M54+Sheet3!M56+Sheet3!M57+Sheet3!M58</f>
        <v>34.365814964634922</v>
      </c>
      <c r="M3" t="s">
        <v>243</v>
      </c>
      <c r="N3" s="20">
        <f>Sheet3!M26+Sheet3!M28+Sheet3!M61</f>
        <v>4.0014421164386063</v>
      </c>
    </row>
    <row r="4" spans="2:14" x14ac:dyDescent="0.25">
      <c r="B4" t="s">
        <v>191</v>
      </c>
      <c r="C4">
        <v>3.5</v>
      </c>
      <c r="D4" t="s">
        <v>210</v>
      </c>
      <c r="E4" s="21">
        <v>3.15</v>
      </c>
      <c r="G4" s="20">
        <f>Sheet3!M11+Sheet3!M18+Sheet3!M19+Sheet3!M24+Sheet3!M27+Sheet3!M32+Sheet3!M33+Sheet3!M43+Sheet3!M44+Sheet3!M50+Sheet3!M56</f>
        <v>14.945922580645759</v>
      </c>
      <c r="H4" t="s">
        <v>233</v>
      </c>
      <c r="I4" s="20">
        <f t="shared" ref="I4:I8" si="0">G4</f>
        <v>14.945922580645759</v>
      </c>
      <c r="K4" t="s">
        <v>237</v>
      </c>
      <c r="L4" s="20">
        <f>G9</f>
        <v>30.058779496109409</v>
      </c>
      <c r="M4" t="s">
        <v>49</v>
      </c>
      <c r="N4" s="20">
        <f>Sheet3!M18+Sheet3!M23+Sheet3!M49+Sheet3!M58</f>
        <v>3.2931181085280032</v>
      </c>
    </row>
    <row r="5" spans="2:14" x14ac:dyDescent="0.25">
      <c r="B5" t="s">
        <v>192</v>
      </c>
      <c r="C5">
        <v>3</v>
      </c>
      <c r="D5" t="s">
        <v>210</v>
      </c>
      <c r="E5" s="21">
        <v>1.23</v>
      </c>
      <c r="G5" s="20">
        <f>Sheet3!M16+Sheet3!M21+Sheet3!M22+Sheet3!M26+Sheet3!M34+Sheet3!M38+Sheet3!M47+Sheet3!M61</f>
        <v>13.941629362720636</v>
      </c>
      <c r="H5" t="s">
        <v>234</v>
      </c>
      <c r="I5" s="20">
        <f t="shared" si="0"/>
        <v>13.941629362720636</v>
      </c>
      <c r="K5" t="s">
        <v>238</v>
      </c>
      <c r="L5" s="20">
        <f>Sheet3!M24+Sheet3!M32+Sheet3!M33+Sheet3!M34+Sheet3!M35</f>
        <v>8.8285838762033482</v>
      </c>
      <c r="M5" t="s">
        <v>241</v>
      </c>
      <c r="N5" s="20">
        <f>Sheet3!M10+Sheet3!M31+Sheet3!M39+Sheet3!M50+Sheet3!M53+Sheet3!M60</f>
        <v>9.8351597037206648</v>
      </c>
    </row>
    <row r="6" spans="2:14" x14ac:dyDescent="0.25">
      <c r="B6" t="s">
        <v>193</v>
      </c>
      <c r="C6">
        <v>0.54</v>
      </c>
      <c r="D6" t="s">
        <v>214</v>
      </c>
      <c r="E6" s="21">
        <v>34.344000000000001</v>
      </c>
      <c r="G6" s="20">
        <f>Sheet3!M28+Sheet3!M37</f>
        <v>6.720772676393584</v>
      </c>
      <c r="H6" t="s">
        <v>235</v>
      </c>
      <c r="I6" s="20">
        <f t="shared" si="0"/>
        <v>6.720772676393584</v>
      </c>
      <c r="K6" t="s">
        <v>63</v>
      </c>
      <c r="L6" s="20">
        <f>Sheet3!M26+Sheet3!M28+Sheet3!M61</f>
        <v>4.0014421164386063</v>
      </c>
      <c r="M6" t="s">
        <v>26</v>
      </c>
      <c r="N6" s="20">
        <f>Sheet3!M9+Sheet3!M11+Sheet3!M13+Sheet3!M14+Sheet3!M15+Sheet3!M17+Sheet3!M19+Sheet3!M21+Sheet3!M24+Sheet3!M27+Sheet3!M30+Sheet3!M33+Sheet3!M37+Sheet3!M38+Sheet3!M40+Sheet3!M42+Sheet3!M43+Sheet3!M44+Sheet3!M47+Sheet3!M52+Sheet3!M56+Sheet3!M59</f>
        <v>39.824717056350366</v>
      </c>
    </row>
    <row r="7" spans="2:14" x14ac:dyDescent="0.25">
      <c r="B7" t="s">
        <v>194</v>
      </c>
      <c r="C7">
        <v>3</v>
      </c>
      <c r="D7" t="s">
        <v>210</v>
      </c>
      <c r="E7" s="21">
        <v>40.200000000000003</v>
      </c>
      <c r="G7" s="20">
        <f>Sheet3!M29+Sheet3!M35+Sheet3!M49</f>
        <v>1.0996127943895619</v>
      </c>
      <c r="H7" t="s">
        <v>236</v>
      </c>
      <c r="I7" s="20">
        <f t="shared" si="0"/>
        <v>1.0996127943895619</v>
      </c>
      <c r="K7" t="s">
        <v>239</v>
      </c>
      <c r="L7" s="20">
        <f>Sheet3!M37+Sheet3!M38+Sheet3!M41+Sheet3!M23</f>
        <v>21.772245324688079</v>
      </c>
      <c r="M7" t="s">
        <v>242</v>
      </c>
      <c r="N7" s="20">
        <f>Sheet3!M32</f>
        <v>1.3517448997057757</v>
      </c>
    </row>
    <row r="8" spans="2:14" x14ac:dyDescent="0.25">
      <c r="B8" t="s">
        <v>195</v>
      </c>
      <c r="C8">
        <v>13.2</v>
      </c>
      <c r="D8" t="s">
        <v>211</v>
      </c>
      <c r="E8" s="21">
        <v>44.747999999999998</v>
      </c>
      <c r="G8" s="20">
        <f>Sheet3!M53</f>
        <v>0.60502904853367256</v>
      </c>
      <c r="H8" t="s">
        <v>103</v>
      </c>
      <c r="I8" s="20">
        <f t="shared" si="0"/>
        <v>0.60502904853367256</v>
      </c>
      <c r="K8" t="s">
        <v>240</v>
      </c>
      <c r="L8" s="20">
        <f>Sheet3!M64+Sheet3!M20+Sheet3!M22</f>
        <v>0.97313422192563626</v>
      </c>
      <c r="M8" t="s">
        <v>21</v>
      </c>
      <c r="N8" s="20">
        <f>Sheet3!M8+Sheet3!M12+Sheet3!M16+Sheet3!M20+Sheet3!M22+Sheet3!M25+Sheet3!M29+Sheet3!M34+Sheet3!M35+Sheet3!M36+Sheet3!M41+Sheet3!M45+Sheet3!M46+Sheet3!M48+Sheet3!M51+Sheet3!M54+Sheet3!M55+Sheet3!M57</f>
        <v>41.69381811525659</v>
      </c>
    </row>
    <row r="9" spans="2:14" x14ac:dyDescent="0.25">
      <c r="B9" t="s">
        <v>196</v>
      </c>
      <c r="C9" s="16">
        <v>0.81</v>
      </c>
      <c r="D9" t="s">
        <v>214</v>
      </c>
      <c r="E9" s="21">
        <v>34.684200000000004</v>
      </c>
      <c r="G9" s="20">
        <f>Sheet3!M65</f>
        <v>30.058779496109409</v>
      </c>
      <c r="H9" t="s">
        <v>215</v>
      </c>
      <c r="I9" s="20">
        <f>G9</f>
        <v>30.058779496109409</v>
      </c>
    </row>
    <row r="10" spans="2:14" x14ac:dyDescent="0.25">
      <c r="B10" t="s">
        <v>62</v>
      </c>
      <c r="C10">
        <v>2</v>
      </c>
      <c r="D10" t="s">
        <v>212</v>
      </c>
      <c r="E10" s="21">
        <v>32</v>
      </c>
      <c r="G10" s="20">
        <f>Sheet3!M64</f>
        <v>0.42970813106084693</v>
      </c>
      <c r="H10" t="s">
        <v>184</v>
      </c>
      <c r="I10" s="20">
        <f>G10</f>
        <v>0.42970813106084693</v>
      </c>
    </row>
    <row r="11" spans="2:14" x14ac:dyDescent="0.25">
      <c r="B11" t="s">
        <v>197</v>
      </c>
      <c r="C11">
        <v>6</v>
      </c>
      <c r="D11" t="s">
        <v>210</v>
      </c>
      <c r="E11" s="21">
        <v>73.199999999999989</v>
      </c>
      <c r="G11" s="20">
        <f>Sheet3!M66</f>
        <v>2.4971198912207933</v>
      </c>
      <c r="H11" t="s">
        <v>27</v>
      </c>
      <c r="I11" s="20">
        <f>G11</f>
        <v>2.4971198912207933</v>
      </c>
      <c r="L11" s="20">
        <f>SUM(L3:L10)</f>
        <v>100.00000000000001</v>
      </c>
      <c r="N11" s="20">
        <f>SUM(N3:N8)</f>
        <v>100</v>
      </c>
    </row>
    <row r="12" spans="2:14" x14ac:dyDescent="0.25">
      <c r="B12" t="s">
        <v>198</v>
      </c>
      <c r="C12">
        <v>15</v>
      </c>
      <c r="D12" t="s">
        <v>211</v>
      </c>
      <c r="E12" s="21">
        <v>29.7</v>
      </c>
      <c r="G12" s="20">
        <f>SUM(G3:G11)</f>
        <v>99.999999999999986</v>
      </c>
    </row>
    <row r="13" spans="2:14" x14ac:dyDescent="0.25">
      <c r="B13" t="s">
        <v>199</v>
      </c>
      <c r="C13">
        <v>2</v>
      </c>
      <c r="D13" t="s">
        <v>211</v>
      </c>
      <c r="E13" s="21">
        <v>0.77105999999999997</v>
      </c>
    </row>
    <row r="14" spans="2:14" x14ac:dyDescent="0.25">
      <c r="B14" t="s">
        <v>221</v>
      </c>
      <c r="C14">
        <v>22</v>
      </c>
      <c r="D14" t="s">
        <v>211</v>
      </c>
      <c r="E14" s="21">
        <v>46.2</v>
      </c>
      <c r="F14" s="22"/>
      <c r="G14" s="22"/>
    </row>
    <row r="15" spans="2:14" x14ac:dyDescent="0.25">
      <c r="B15" t="s">
        <v>222</v>
      </c>
      <c r="C15">
        <v>2</v>
      </c>
      <c r="D15" t="s">
        <v>213</v>
      </c>
      <c r="E15" s="21">
        <v>79.900000000000006</v>
      </c>
      <c r="F15" s="22"/>
      <c r="G15" s="22"/>
    </row>
    <row r="16" spans="2:14" x14ac:dyDescent="0.25">
      <c r="B16" t="s">
        <v>223</v>
      </c>
      <c r="C16">
        <v>3</v>
      </c>
      <c r="D16" t="s">
        <v>211</v>
      </c>
      <c r="E16" s="21">
        <v>24.150000000000002</v>
      </c>
      <c r="F16" s="22"/>
      <c r="G16" s="22"/>
    </row>
    <row r="17" spans="2:7" x14ac:dyDescent="0.25">
      <c r="B17" t="s">
        <v>224</v>
      </c>
      <c r="C17">
        <v>4</v>
      </c>
      <c r="D17" t="s">
        <v>211</v>
      </c>
      <c r="E17" s="21">
        <v>91.96</v>
      </c>
      <c r="F17" s="22"/>
      <c r="G17" s="22"/>
    </row>
    <row r="18" spans="2:7" x14ac:dyDescent="0.25">
      <c r="B18" t="s">
        <v>225</v>
      </c>
      <c r="C18">
        <v>2</v>
      </c>
      <c r="D18" t="s">
        <v>211</v>
      </c>
      <c r="E18" s="21">
        <v>43.96</v>
      </c>
      <c r="F18" s="22"/>
      <c r="G18" s="22"/>
    </row>
    <row r="19" spans="2:7" x14ac:dyDescent="0.25">
      <c r="B19" t="s">
        <v>83</v>
      </c>
      <c r="C19">
        <v>3.6</v>
      </c>
      <c r="D19" t="s">
        <v>213</v>
      </c>
      <c r="E19" s="21">
        <v>79.128</v>
      </c>
    </row>
    <row r="20" spans="2:7" x14ac:dyDescent="0.25">
      <c r="B20" t="s">
        <v>200</v>
      </c>
      <c r="C20" s="16">
        <v>4.5</v>
      </c>
      <c r="D20" t="s">
        <v>214</v>
      </c>
      <c r="E20" s="21">
        <v>192.69</v>
      </c>
    </row>
    <row r="21" spans="2:7" x14ac:dyDescent="0.25">
      <c r="B21" t="s">
        <v>209</v>
      </c>
      <c r="C21">
        <v>2.52</v>
      </c>
      <c r="D21" t="s">
        <v>214</v>
      </c>
      <c r="E21" s="21">
        <v>20.16</v>
      </c>
    </row>
    <row r="22" spans="2:7" x14ac:dyDescent="0.25">
      <c r="B22" t="s">
        <v>201</v>
      </c>
      <c r="C22">
        <v>1.8</v>
      </c>
      <c r="D22" t="s">
        <v>210</v>
      </c>
      <c r="E22" s="21">
        <v>4.1219999999999999</v>
      </c>
    </row>
    <row r="23" spans="2:7" x14ac:dyDescent="0.25">
      <c r="B23" t="s">
        <v>226</v>
      </c>
      <c r="C23">
        <v>1</v>
      </c>
      <c r="D23" t="s">
        <v>211</v>
      </c>
      <c r="E23" s="21">
        <v>3.9</v>
      </c>
      <c r="F23" s="22"/>
      <c r="G23" s="22"/>
    </row>
    <row r="24" spans="2:7" x14ac:dyDescent="0.25">
      <c r="B24" t="s">
        <v>208</v>
      </c>
      <c r="C24">
        <v>1.8</v>
      </c>
      <c r="D24" t="s">
        <v>210</v>
      </c>
      <c r="E24" s="21">
        <v>3.6179999999999999</v>
      </c>
    </row>
    <row r="25" spans="2:7" x14ac:dyDescent="0.25">
      <c r="B25" t="s">
        <v>202</v>
      </c>
      <c r="C25">
        <v>2.5</v>
      </c>
      <c r="D25" t="s">
        <v>213</v>
      </c>
      <c r="E25" s="21">
        <v>11.799999999999999</v>
      </c>
    </row>
    <row r="26" spans="2:7" x14ac:dyDescent="0.25">
      <c r="B26" t="s">
        <v>207</v>
      </c>
      <c r="C26">
        <v>2</v>
      </c>
      <c r="D26" t="s">
        <v>211</v>
      </c>
      <c r="E26" s="21">
        <v>2.98</v>
      </c>
    </row>
    <row r="27" spans="2:7" x14ac:dyDescent="0.25">
      <c r="B27" t="s">
        <v>244</v>
      </c>
      <c r="C27">
        <v>0.3</v>
      </c>
      <c r="D27" t="s">
        <v>213</v>
      </c>
      <c r="E27" s="21">
        <v>23.661000000000001</v>
      </c>
      <c r="F27" s="22"/>
    </row>
    <row r="28" spans="2:7" x14ac:dyDescent="0.25">
      <c r="B28" t="s">
        <v>245</v>
      </c>
      <c r="C28">
        <v>2</v>
      </c>
      <c r="D28" t="s">
        <v>212</v>
      </c>
      <c r="E28" s="21">
        <v>13.6</v>
      </c>
      <c r="G28" s="22"/>
    </row>
    <row r="29" spans="2:7" x14ac:dyDescent="0.25">
      <c r="B29" t="s">
        <v>246</v>
      </c>
      <c r="C29">
        <v>1</v>
      </c>
      <c r="D29" t="s">
        <v>211</v>
      </c>
      <c r="E29" s="21">
        <v>6.56</v>
      </c>
      <c r="G29" s="22"/>
    </row>
    <row r="30" spans="2:7" x14ac:dyDescent="0.25">
      <c r="B30" t="s">
        <v>184</v>
      </c>
      <c r="C30" s="20">
        <v>1.953125E-2</v>
      </c>
      <c r="D30" t="s">
        <v>216</v>
      </c>
      <c r="E30" t="s">
        <v>217</v>
      </c>
    </row>
    <row r="31" spans="2:7" x14ac:dyDescent="0.25">
      <c r="B31" t="s">
        <v>215</v>
      </c>
      <c r="C31" s="20">
        <v>1.3302425600000001</v>
      </c>
      <c r="D31" t="s">
        <v>216</v>
      </c>
      <c r="E31" t="s">
        <v>217</v>
      </c>
    </row>
    <row r="32" spans="2:7" x14ac:dyDescent="0.25">
      <c r="B32" t="s">
        <v>27</v>
      </c>
      <c r="C32" s="20">
        <v>2.35E-2</v>
      </c>
      <c r="D32" t="s">
        <v>216</v>
      </c>
      <c r="E32" s="27" t="s">
        <v>217</v>
      </c>
    </row>
    <row r="33" spans="2:7" x14ac:dyDescent="0.25">
      <c r="B33" s="3" t="s">
        <v>218</v>
      </c>
      <c r="C33" s="25">
        <v>4.5452363099999999</v>
      </c>
      <c r="D33" s="26" t="s">
        <v>216</v>
      </c>
      <c r="E33" s="24">
        <f>SUM(E3:E29)</f>
        <v>1250.7202600000003</v>
      </c>
    </row>
    <row r="34" spans="2:7" x14ac:dyDescent="0.25">
      <c r="B34" t="s">
        <v>231</v>
      </c>
      <c r="E34" s="21">
        <v>11.08</v>
      </c>
    </row>
    <row r="35" spans="2:7" x14ac:dyDescent="0.25">
      <c r="B35" t="s">
        <v>232</v>
      </c>
      <c r="E35" s="21">
        <v>823.43</v>
      </c>
      <c r="F35" s="22"/>
    </row>
    <row r="36" spans="2:7" x14ac:dyDescent="0.25">
      <c r="B36" t="s">
        <v>219</v>
      </c>
      <c r="E36" s="21">
        <v>0.2</v>
      </c>
    </row>
    <row r="37" spans="2:7" x14ac:dyDescent="0.25">
      <c r="B37" t="s">
        <v>203</v>
      </c>
      <c r="E37" s="21">
        <v>207</v>
      </c>
      <c r="G37" s="22"/>
    </row>
    <row r="38" spans="2:7" x14ac:dyDescent="0.25">
      <c r="B38" t="s">
        <v>227</v>
      </c>
      <c r="E38" s="29">
        <v>103.4</v>
      </c>
    </row>
    <row r="39" spans="2:7" x14ac:dyDescent="0.25">
      <c r="B39" s="3" t="s">
        <v>220</v>
      </c>
      <c r="E39" s="30">
        <f>SUM(E33:E38)</f>
        <v>2395.8302600000002</v>
      </c>
      <c r="G39" s="22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TYW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Hare, Billy</dc:creator>
  <cp:lastModifiedBy>Hare, Billy</cp:lastModifiedBy>
  <cp:revision/>
  <dcterms:created xsi:type="dcterms:W3CDTF">2020-01-20T15:52:56Z</dcterms:created>
  <dcterms:modified xsi:type="dcterms:W3CDTF">2020-03-25T09:51:17Z</dcterms:modified>
</cp:coreProperties>
</file>